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hatinf01.cpiuk.local\Profiles$\jlongman\Desktop\"/>
    </mc:Choice>
  </mc:AlternateContent>
  <xr:revisionPtr revIDLastSave="0" documentId="13_ncr:1_{498D771A-4B53-4214-BA3B-8254FB2D471C}" xr6:coauthVersionLast="47" xr6:coauthVersionMax="47" xr10:uidLastSave="{00000000-0000-0000-0000-000000000000}"/>
  <bookViews>
    <workbookView xWindow="-25320" yWindow="450" windowWidth="25440" windowHeight="15390" activeTab="1" xr2:uid="{00000000-000D-0000-FFFF-FFFF00000000}"/>
  </bookViews>
  <sheets>
    <sheet name="Data" sheetId="1" r:id="rId1"/>
    <sheet name="Calc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1" l="1"/>
  <c r="P20" i="1"/>
  <c r="Q20" i="1"/>
  <c r="R20" i="1"/>
  <c r="N19" i="1"/>
  <c r="P19" i="1"/>
  <c r="Q19" i="1"/>
  <c r="R19" i="1"/>
  <c r="C16" i="1"/>
  <c r="D27" i="1" l="1"/>
  <c r="S103" i="4" l="1"/>
  <c r="S104" i="4" s="1"/>
  <c r="S105" i="4" s="1"/>
  <c r="S106" i="4" s="1"/>
  <c r="S107" i="4" s="1"/>
  <c r="S108" i="4" s="1"/>
  <c r="S109" i="4" s="1"/>
  <c r="S110" i="4" s="1"/>
  <c r="S111" i="4" s="1"/>
  <c r="S112" i="4" s="1"/>
  <c r="S113" i="4" s="1"/>
  <c r="S114" i="4" s="1"/>
  <c r="S115" i="4" s="1"/>
  <c r="S116" i="4" s="1"/>
  <c r="S117" i="4" s="1"/>
  <c r="L1" i="1" l="1"/>
  <c r="M20" i="1" l="1"/>
  <c r="O20" i="1"/>
  <c r="M19" i="1"/>
  <c r="O19" i="1"/>
  <c r="R6" i="1"/>
  <c r="Q34" i="1"/>
  <c r="Q17" i="1"/>
  <c r="R16" i="1"/>
  <c r="Q28" i="1"/>
  <c r="R27" i="1"/>
  <c r="Q29" i="1"/>
  <c r="R7" i="1"/>
  <c r="R15" i="1"/>
  <c r="Q9" i="1"/>
  <c r="R8" i="1"/>
  <c r="Q10" i="1"/>
  <c r="R9" i="1"/>
  <c r="Q11" i="1"/>
  <c r="R10" i="1"/>
  <c r="R18" i="1"/>
  <c r="R28" i="1"/>
  <c r="Q4" i="1"/>
  <c r="Q12" i="1"/>
  <c r="Q22" i="1"/>
  <c r="Q30" i="1"/>
  <c r="R4" i="1"/>
  <c r="R30" i="1"/>
  <c r="Q14" i="1"/>
  <c r="Q24" i="1"/>
  <c r="R5" i="1"/>
  <c r="R31" i="1"/>
  <c r="Q15" i="1"/>
  <c r="Q33" i="1"/>
  <c r="R24" i="1"/>
  <c r="R32" i="1"/>
  <c r="Q16" i="1"/>
  <c r="R33" i="1"/>
  <c r="Q35" i="1"/>
  <c r="R34" i="1"/>
  <c r="Q3" i="1"/>
  <c r="R35" i="1"/>
  <c r="R11" i="1"/>
  <c r="R21" i="1"/>
  <c r="R29" i="1"/>
  <c r="Q5" i="1"/>
  <c r="Q13" i="1"/>
  <c r="Q23" i="1"/>
  <c r="Q31" i="1"/>
  <c r="R12" i="1"/>
  <c r="R22" i="1"/>
  <c r="Q6" i="1"/>
  <c r="Q32" i="1"/>
  <c r="R13" i="1"/>
  <c r="R23" i="1"/>
  <c r="Q7" i="1"/>
  <c r="Q25" i="1"/>
  <c r="R14" i="1"/>
  <c r="Q8" i="1"/>
  <c r="Q26" i="1"/>
  <c r="R25" i="1"/>
  <c r="Q27" i="1"/>
  <c r="R26" i="1"/>
  <c r="Q18" i="1"/>
  <c r="R17" i="1"/>
  <c r="Q21" i="1"/>
  <c r="M35" i="1"/>
  <c r="M2" i="1" s="1"/>
  <c r="O35" i="1"/>
  <c r="O2" i="1" s="1"/>
  <c r="P35" i="1"/>
  <c r="N35" i="1"/>
  <c r="M16" i="1"/>
  <c r="N16" i="1"/>
  <c r="O16" i="1"/>
  <c r="P16" i="1"/>
  <c r="M8" i="1"/>
  <c r="N8" i="1"/>
  <c r="O8" i="1"/>
  <c r="P8" i="1"/>
  <c r="M7" i="1"/>
  <c r="N7" i="1"/>
  <c r="O7" i="1"/>
  <c r="P7" i="1"/>
  <c r="M34" i="1"/>
  <c r="N34" i="1"/>
  <c r="O34" i="1"/>
  <c r="P34" i="1"/>
  <c r="M9" i="1"/>
  <c r="N9" i="1"/>
  <c r="O9" i="1"/>
  <c r="P9" i="1"/>
  <c r="P33" i="1"/>
  <c r="N33" i="1"/>
  <c r="N31" i="1"/>
  <c r="P10" i="1"/>
  <c r="P31" i="1"/>
  <c r="N10" i="1"/>
  <c r="N18" i="1"/>
  <c r="P18" i="1"/>
  <c r="N17" i="1"/>
  <c r="P17" i="1"/>
  <c r="N22" i="1"/>
  <c r="P22" i="1"/>
  <c r="P27" i="1"/>
  <c r="N27" i="1"/>
  <c r="O33" i="1"/>
  <c r="M33" i="1"/>
  <c r="M31" i="1"/>
  <c r="O31" i="1"/>
  <c r="O10" i="1"/>
  <c r="M10" i="1"/>
  <c r="M18" i="1"/>
  <c r="O18" i="1"/>
  <c r="M17" i="1"/>
  <c r="O17" i="1"/>
  <c r="M22" i="1"/>
  <c r="O22" i="1"/>
  <c r="O27" i="1"/>
  <c r="M27" i="1"/>
  <c r="N3" i="1"/>
  <c r="R3" i="1"/>
  <c r="P4" i="1"/>
  <c r="P14" i="1"/>
  <c r="P24" i="1"/>
  <c r="P29" i="1"/>
  <c r="N4" i="1"/>
  <c r="N14" i="1"/>
  <c r="N24" i="1"/>
  <c r="N29" i="1"/>
  <c r="P11" i="1"/>
  <c r="P15" i="1"/>
  <c r="P25" i="1"/>
  <c r="P30" i="1"/>
  <c r="N11" i="1"/>
  <c r="N15" i="1"/>
  <c r="N25" i="1"/>
  <c r="N30" i="1"/>
  <c r="P5" i="1"/>
  <c r="P12" i="1"/>
  <c r="P21" i="1"/>
  <c r="P26" i="1"/>
  <c r="P32" i="1"/>
  <c r="N5" i="1"/>
  <c r="N12" i="1"/>
  <c r="N21" i="1"/>
  <c r="N26" i="1"/>
  <c r="N32" i="1"/>
  <c r="P6" i="1"/>
  <c r="P13" i="1"/>
  <c r="P23" i="1"/>
  <c r="P28" i="1"/>
  <c r="P3" i="1"/>
  <c r="N6" i="1"/>
  <c r="N13" i="1"/>
  <c r="N23" i="1"/>
  <c r="N28" i="1"/>
  <c r="O3" i="1"/>
  <c r="M3" i="1"/>
  <c r="M30" i="1"/>
  <c r="O30" i="1"/>
  <c r="M32" i="1"/>
  <c r="O32" i="1"/>
  <c r="M6" i="1"/>
  <c r="O6" i="1"/>
  <c r="M29" i="1"/>
  <c r="O29" i="1"/>
  <c r="M4" i="1"/>
  <c r="O4" i="1"/>
  <c r="O28" i="1"/>
  <c r="M28" i="1"/>
  <c r="M5" i="1"/>
  <c r="O5" i="1"/>
  <c r="M11" i="1"/>
  <c r="O11" i="1"/>
  <c r="M12" i="1"/>
  <c r="O12" i="1"/>
  <c r="M13" i="1"/>
  <c r="O13" i="1"/>
  <c r="M14" i="1"/>
  <c r="O14" i="1"/>
  <c r="M15" i="1"/>
  <c r="O15" i="1"/>
  <c r="M21" i="1"/>
  <c r="O21" i="1"/>
  <c r="M23" i="1"/>
  <c r="O23" i="1"/>
  <c r="M24" i="1"/>
  <c r="O24" i="1"/>
  <c r="M25" i="1"/>
  <c r="O25" i="1"/>
  <c r="M26" i="1"/>
  <c r="O26" i="1"/>
  <c r="R2" i="1" l="1"/>
  <c r="Q2" i="1"/>
  <c r="N2" i="1"/>
  <c r="P2" i="1"/>
  <c r="P46" i="1" s="1"/>
  <c r="P45" i="1"/>
  <c r="P47" i="1" l="1"/>
  <c r="P48" i="1" s="1"/>
  <c r="L52" i="1"/>
  <c r="S1" i="1" l="1"/>
  <c r="M54" i="1"/>
  <c r="M66" i="1"/>
  <c r="O74" i="1"/>
  <c r="M74" i="1"/>
  <c r="O73" i="1"/>
  <c r="M73" i="1"/>
  <c r="O72" i="1"/>
  <c r="M72" i="1"/>
  <c r="O71" i="1"/>
  <c r="P70" i="1"/>
  <c r="N70" i="1"/>
  <c r="P69" i="1"/>
  <c r="N69" i="1"/>
  <c r="P68" i="1"/>
  <c r="N68" i="1"/>
  <c r="P67" i="1"/>
  <c r="N67" i="1"/>
  <c r="M71" i="1"/>
  <c r="P74" i="1"/>
  <c r="N74" i="1"/>
  <c r="P73" i="1"/>
  <c r="N73" i="1"/>
  <c r="P72" i="1"/>
  <c r="N72" i="1"/>
  <c r="P71" i="1"/>
  <c r="N71" i="1"/>
  <c r="O70" i="1"/>
  <c r="M70" i="1"/>
  <c r="O69" i="1"/>
  <c r="M69" i="1"/>
  <c r="O68" i="1"/>
  <c r="M68" i="1"/>
  <c r="O67" i="1"/>
  <c r="M67" i="1"/>
  <c r="M63" i="1"/>
  <c r="M62" i="1"/>
  <c r="M61" i="1"/>
  <c r="M60" i="1"/>
  <c r="M59" i="1"/>
  <c r="P63" i="1"/>
  <c r="N63" i="1"/>
  <c r="P62" i="1"/>
  <c r="N62" i="1"/>
  <c r="P61" i="1"/>
  <c r="N61" i="1"/>
  <c r="P60" i="1"/>
  <c r="N60" i="1"/>
  <c r="P59" i="1"/>
  <c r="N59" i="1"/>
  <c r="P58" i="1"/>
  <c r="N58" i="1"/>
  <c r="P57" i="1"/>
  <c r="N57" i="1"/>
  <c r="N53" i="1" s="1"/>
  <c r="P56" i="1"/>
  <c r="N56" i="1"/>
  <c r="P55" i="1"/>
  <c r="N55" i="1"/>
  <c r="P75" i="1"/>
  <c r="N75" i="1"/>
  <c r="O63" i="1"/>
  <c r="O62" i="1"/>
  <c r="O61" i="1"/>
  <c r="O60" i="1"/>
  <c r="O59" i="1"/>
  <c r="O58" i="1"/>
  <c r="M58" i="1"/>
  <c r="O57" i="1"/>
  <c r="O53" i="1" s="1"/>
  <c r="P78" i="1" s="1"/>
  <c r="M57" i="1"/>
  <c r="O56" i="1"/>
  <c r="M56" i="1"/>
  <c r="O55" i="1"/>
  <c r="M55" i="1"/>
  <c r="O75" i="1"/>
  <c r="M75" i="1"/>
  <c r="P54" i="1"/>
  <c r="N66" i="1"/>
  <c r="P66" i="1"/>
  <c r="N54" i="1"/>
  <c r="O54" i="1"/>
  <c r="O66" i="1"/>
  <c r="M53" i="1" l="1"/>
  <c r="P53" i="1"/>
  <c r="P80" i="1" s="1"/>
  <c r="P82" i="1" l="1"/>
  <c r="S2" i="1" s="1"/>
  <c r="P79" i="1"/>
  <c r="S5" i="1" l="1"/>
  <c r="S10" i="1" s="1"/>
  <c r="S6" i="1"/>
  <c r="S7" i="1" l="1"/>
  <c r="S12" i="1"/>
  <c r="S13" i="1" l="1"/>
  <c r="E18" i="4" s="1"/>
</calcChain>
</file>

<file path=xl/sharedStrings.xml><?xml version="1.0" encoding="utf-8"?>
<sst xmlns="http://schemas.openxmlformats.org/spreadsheetml/2006/main" count="165" uniqueCount="116">
  <si>
    <t>Grammage</t>
  </si>
  <si>
    <t xml:space="preserve">Micron </t>
  </si>
  <si>
    <t xml:space="preserve">10 sheet </t>
  </si>
  <si>
    <t>A</t>
  </si>
  <si>
    <t>B</t>
  </si>
  <si>
    <t>Royal</t>
  </si>
  <si>
    <t>Demy</t>
  </si>
  <si>
    <t>limp</t>
  </si>
  <si>
    <t>Format</t>
  </si>
  <si>
    <t>Page extent</t>
  </si>
  <si>
    <t>Spine Width</t>
  </si>
  <si>
    <t>PP</t>
  </si>
  <si>
    <t>A/B Cased</t>
  </si>
  <si>
    <t>A/B LIMP</t>
  </si>
  <si>
    <t>R/D LIMP</t>
  </si>
  <si>
    <t>R/D Cased</t>
  </si>
  <si>
    <t>total</t>
  </si>
  <si>
    <t>Calculation</t>
  </si>
  <si>
    <t>Norbook</t>
  </si>
  <si>
    <t>Paper gsm/micron</t>
  </si>
  <si>
    <t>Holmen</t>
  </si>
  <si>
    <t>Munken</t>
  </si>
  <si>
    <t>Supplier</t>
  </si>
  <si>
    <t>Storaenso</t>
  </si>
  <si>
    <t>CPI</t>
  </si>
  <si>
    <t>Cover files supplied within a tolerance of 0.5mm will be accepted and printed, anything above 0.5mm will be queried before proceeding.</t>
  </si>
  <si>
    <t>Other</t>
  </si>
  <si>
    <t>Add illustrations</t>
  </si>
  <si>
    <t>Illustrations</t>
  </si>
  <si>
    <t>Illustration paper</t>
  </si>
  <si>
    <t>Gloss art 130gsm</t>
  </si>
  <si>
    <t>Silk 130gsm</t>
  </si>
  <si>
    <t>Lumiart</t>
  </si>
  <si>
    <t>Lumisilk</t>
  </si>
  <si>
    <t xml:space="preserve">CPI aims to work within manufacturing tolerances of paper and equipment . </t>
  </si>
  <si>
    <t>Notes:</t>
  </si>
  <si>
    <t>CPI Web Litho Spine Width Calculator</t>
  </si>
  <si>
    <t>Please note that paper tolerances are +/- 2% which may affect the spine width calculations.</t>
  </si>
  <si>
    <t>Ensobulky 50/120</t>
  </si>
  <si>
    <t>Ensoclassic 80/144</t>
  </si>
  <si>
    <t>Ensocreamy 70/140</t>
  </si>
  <si>
    <t>Ensolux Cream 70/140</t>
  </si>
  <si>
    <t>Ensolux White 70/140</t>
  </si>
  <si>
    <t>Ensonovel 60/120</t>
  </si>
  <si>
    <t>Ensonovel 70/140</t>
  </si>
  <si>
    <t>Holmen Cream 60/120</t>
  </si>
  <si>
    <t>Holmen Cream 70/140</t>
  </si>
  <si>
    <t>Holmen White 70/140</t>
  </si>
  <si>
    <t>Munken Premium 80/140</t>
  </si>
  <si>
    <t>Munken Print 80/144</t>
  </si>
  <si>
    <t>Offset papers 80/100</t>
  </si>
  <si>
    <t>Plus 0.9mm</t>
  </si>
  <si>
    <t>Plus 1mm</t>
  </si>
  <si>
    <t>Plus 1.1mm</t>
  </si>
  <si>
    <t>Plus 1.2mm</t>
  </si>
  <si>
    <t>Up to 29.9mm</t>
  </si>
  <si>
    <t>30-39.9mm</t>
  </si>
  <si>
    <t>40-49.9mm</t>
  </si>
  <si>
    <t>50mm up</t>
  </si>
  <si>
    <t>Royal and demy</t>
  </si>
  <si>
    <t>Cased</t>
  </si>
  <si>
    <t>Limp</t>
  </si>
  <si>
    <t>CPI Supplied papers</t>
  </si>
  <si>
    <t>Not all paper grades supplied by CPI are available in all formats, if any queries on available stocks please refer to your customer service executive.</t>
  </si>
  <si>
    <t xml:space="preserve">If spine width returned is #Value!, please discuss with Customer Service as this is near the limits of our bindery equipment and needs to be referred to the factory </t>
  </si>
  <si>
    <t>Cased / Limp</t>
  </si>
  <si>
    <t>Ensocreamy 60/120</t>
  </si>
  <si>
    <t>Ensobulky 53/127</t>
  </si>
  <si>
    <t>Exopress</t>
  </si>
  <si>
    <t>Ensoclassic 80/160</t>
  </si>
  <si>
    <t>Holmen white 52/83</t>
  </si>
  <si>
    <t>Ensobulky 45/81</t>
  </si>
  <si>
    <t>PPC Cased 2mm boards - round backed</t>
  </si>
  <si>
    <t>PPC Cased 2.25mm boards - round backed</t>
  </si>
  <si>
    <t>PPC Cased 2.5mm boards - round backed</t>
  </si>
  <si>
    <t>PPC Cased 3mm boards - round backed</t>
  </si>
  <si>
    <t>PPC Cased 2mm boards - square backed</t>
  </si>
  <si>
    <t>PPC Cased 2.25mm boards - square backed</t>
  </si>
  <si>
    <t>PPC Cased 2.5mm boards - square backed</t>
  </si>
  <si>
    <t>PPC Cased 3mm boards - square backed</t>
  </si>
  <si>
    <t>R/D Cased Jacket</t>
  </si>
  <si>
    <t xml:space="preserve">A/B PPC </t>
  </si>
  <si>
    <t>R/D PPC</t>
  </si>
  <si>
    <t>A/B Cased jacket</t>
  </si>
  <si>
    <t>jacket cased</t>
  </si>
  <si>
    <t>PPC cased</t>
  </si>
  <si>
    <t>ills</t>
  </si>
  <si>
    <t>block +case etc</t>
  </si>
  <si>
    <t>Final value rounded</t>
  </si>
  <si>
    <t>Limp value</t>
  </si>
  <si>
    <t xml:space="preserve">jacket Cased value </t>
  </si>
  <si>
    <t>Final value</t>
  </si>
  <si>
    <t>Jacket Cased 2mm boards</t>
  </si>
  <si>
    <t>Jacket Cased 2.25mm boards</t>
  </si>
  <si>
    <t>Jacket Cased 2.5mm boards</t>
  </si>
  <si>
    <t>Jacket Cased 3mm boards</t>
  </si>
  <si>
    <t>Jacket dimensions are for round backed product, if a square backed jacket is required please discuss with Customer Service.</t>
  </si>
  <si>
    <t>Square back spine widths are based on board hollows.</t>
  </si>
  <si>
    <t>PPC spine widths are based on the hollow size used, this needs to be allowed for within the design depending upon how much of the spine you want to see 'round' the front and back of book.</t>
  </si>
  <si>
    <t>PPC value round backed</t>
  </si>
  <si>
    <t>PPC value square backed</t>
  </si>
  <si>
    <t>Munken Premium cream 90/176</t>
  </si>
  <si>
    <t>Holmen Cream 65/143</t>
  </si>
  <si>
    <t>Holmen Bulky 52/120</t>
  </si>
  <si>
    <t>Holmen White 55/110</t>
  </si>
  <si>
    <t>Ensocreamy 65/140</t>
  </si>
  <si>
    <t>Iberset Offset 80/106</t>
  </si>
  <si>
    <t>Iberset offset 80/106</t>
  </si>
  <si>
    <t>Galerie Art Satin 130gsm</t>
  </si>
  <si>
    <t>Ensocreamy 50/100</t>
  </si>
  <si>
    <t>Munken Pure 80/104</t>
  </si>
  <si>
    <t>Ensocreamy 57/120</t>
  </si>
  <si>
    <t>Holmen Bulky 50/115</t>
  </si>
  <si>
    <t>Holmen Cream 60/108</t>
  </si>
  <si>
    <t>Kruger 49/113</t>
  </si>
  <si>
    <t>Holmen Cream 70/112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</si>
</sst>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name val="Garamond"/>
      <family val="1"/>
    </font>
    <font>
      <sz val="10"/>
      <name val="Arial"/>
      <family val="2"/>
    </font>
    <font>
      <sz val="10"/>
      <color indexed="8"/>
      <name val="Arial"/>
      <family val="2"/>
    </font>
    <font>
      <sz val="11"/>
      <color theme="1"/>
      <name val="Century Gothic"/>
      <family val="2"/>
    </font>
    <font>
      <b/>
      <sz val="9"/>
      <name val="Century Gothic"/>
      <family val="2"/>
    </font>
    <font>
      <b/>
      <sz val="14"/>
      <color rgb="FF97BE0D"/>
      <name val="Georgia"/>
      <family val="1"/>
    </font>
    <font>
      <b/>
      <sz val="10"/>
      <name val="Century Gothic"/>
      <family val="2"/>
    </font>
    <font>
      <b/>
      <i/>
      <sz val="11"/>
      <color theme="1"/>
      <name val="Century Gothic"/>
      <family val="2"/>
    </font>
    <font>
      <b/>
      <sz val="11"/>
      <name val="Century Gothic"/>
      <family val="2"/>
    </font>
    <font>
      <b/>
      <i/>
      <sz val="10"/>
      <color theme="1"/>
      <name val="Century Gothic"/>
      <family val="2"/>
    </font>
    <font>
      <b/>
      <sz val="11"/>
      <color theme="1"/>
      <name val="Century Gothic"/>
      <family val="2"/>
    </font>
    <font>
      <b/>
      <sz val="11"/>
      <color rgb="FFFF0000"/>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97BE0D"/>
        <bgColor indexed="64"/>
      </patternFill>
    </fill>
    <fill>
      <patternFill patternType="solid">
        <fgColor rgb="FFFFFF00"/>
        <bgColor indexed="64"/>
      </patternFill>
    </fill>
    <fill>
      <patternFill patternType="solid">
        <fgColor rgb="FFFF000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7">
    <xf numFmtId="0" fontId="0" fillId="0" borderId="0"/>
    <xf numFmtId="0" fontId="2" fillId="0" borderId="0"/>
    <xf numFmtId="0" fontId="1" fillId="0" borderId="0"/>
    <xf numFmtId="0" fontId="2" fillId="0" borderId="0"/>
    <xf numFmtId="0" fontId="1" fillId="0" borderId="0"/>
    <xf numFmtId="0" fontId="1" fillId="0" borderId="0"/>
    <xf numFmtId="0" fontId="3" fillId="0" borderId="0">
      <alignment vertical="top"/>
    </xf>
  </cellStyleXfs>
  <cellXfs count="28">
    <xf numFmtId="0" fontId="0" fillId="0" borderId="0" xfId="0"/>
    <xf numFmtId="0" fontId="0" fillId="0" borderId="1" xfId="0" applyBorder="1"/>
    <xf numFmtId="0" fontId="0" fillId="0" borderId="2" xfId="0" applyBorder="1"/>
    <xf numFmtId="0" fontId="0" fillId="0" borderId="3" xfId="0" applyBorder="1"/>
    <xf numFmtId="0" fontId="4" fillId="2" borderId="0" xfId="0" applyFont="1" applyFill="1"/>
    <xf numFmtId="0" fontId="5" fillId="2" borderId="0" xfId="0" applyFont="1" applyFill="1" applyAlignment="1">
      <alignment horizontal="center" vertical="center"/>
    </xf>
    <xf numFmtId="0" fontId="6" fillId="2" borderId="0" xfId="0" applyFont="1" applyFill="1"/>
    <xf numFmtId="0" fontId="7" fillId="3" borderId="4" xfId="0" applyFont="1" applyFill="1" applyBorder="1"/>
    <xf numFmtId="0" fontId="4" fillId="2" borderId="1" xfId="0" applyFont="1" applyFill="1" applyBorder="1" applyProtection="1">
      <protection locked="0"/>
    </xf>
    <xf numFmtId="0" fontId="0" fillId="4" borderId="1" xfId="0" applyFill="1" applyBorder="1"/>
    <xf numFmtId="0" fontId="8" fillId="2" borderId="0" xfId="0" applyFont="1" applyFill="1"/>
    <xf numFmtId="0" fontId="0" fillId="4" borderId="4" xfId="0" applyFill="1" applyBorder="1"/>
    <xf numFmtId="0" fontId="9" fillId="2" borderId="0" xfId="0" applyFont="1" applyFill="1" applyAlignment="1">
      <alignment horizontal="center" vertical="center"/>
    </xf>
    <xf numFmtId="0" fontId="10" fillId="2" borderId="0" xfId="0" applyFont="1" applyFill="1"/>
    <xf numFmtId="0" fontId="11" fillId="2" borderId="0" xfId="0" applyFont="1" applyFill="1"/>
    <xf numFmtId="2" fontId="0" fillId="0" borderId="3" xfId="0" applyNumberFormat="1" applyBorder="1"/>
    <xf numFmtId="2" fontId="0" fillId="0" borderId="8" xfId="0" applyNumberFormat="1" applyBorder="1"/>
    <xf numFmtId="2" fontId="0" fillId="0" borderId="4" xfId="0" applyNumberFormat="1" applyBorder="1"/>
    <xf numFmtId="0" fontId="0" fillId="0" borderId="0" xfId="0" applyAlignment="1">
      <alignment wrapText="1"/>
    </xf>
    <xf numFmtId="2" fontId="0" fillId="0" borderId="0" xfId="0" applyNumberFormat="1"/>
    <xf numFmtId="0" fontId="12" fillId="0" borderId="0" xfId="0" applyFont="1"/>
    <xf numFmtId="0" fontId="13" fillId="5" borderId="0" xfId="0" applyFont="1" applyFill="1"/>
    <xf numFmtId="0" fontId="0" fillId="0" borderId="0" xfId="0" applyAlignment="1">
      <alignment vertical="center"/>
    </xf>
    <xf numFmtId="0" fontId="4" fillId="0" borderId="0" xfId="0" applyFont="1" applyAlignment="1">
      <alignment vertical="center"/>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6" fillId="2" borderId="0" xfId="0" applyFont="1" applyFill="1" applyAlignment="1">
      <alignment horizontal="center"/>
    </xf>
  </cellXfs>
  <cellStyles count="7">
    <cellStyle name="Excel_BuiltIn_Normal 2"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Normal 4 2" xfId="5" xr:uid="{00000000-0005-0000-0000-000005000000}"/>
    <cellStyle name="Normal 7"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474345</xdr:colOff>
      <xdr:row>4</xdr:row>
      <xdr:rowOff>152401</xdr:rowOff>
    </xdr:to>
    <xdr:pic>
      <xdr:nvPicPr>
        <xdr:cNvPr id="2" name="Picture 1" descr="CPI-LOGO-web.co.uk.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46809"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2"/>
  <sheetViews>
    <sheetView topLeftCell="A2" workbookViewId="0">
      <selection activeCell="A19" sqref="A19"/>
    </sheetView>
  </sheetViews>
  <sheetFormatPr defaultRowHeight="14.5" x14ac:dyDescent="0.35"/>
  <cols>
    <col min="1" max="1" width="37.54296875" customWidth="1"/>
    <col min="2" max="2" width="10.54296875" bestFit="1" customWidth="1"/>
    <col min="3" max="3" width="7.54296875" bestFit="1" customWidth="1"/>
    <col min="4" max="4" width="8.90625" bestFit="1" customWidth="1"/>
    <col min="5" max="5" width="12.90625" bestFit="1" customWidth="1"/>
    <col min="6" max="8" width="12.90625" customWidth="1"/>
    <col min="9" max="9" width="15.08984375" bestFit="1" customWidth="1"/>
    <col min="10" max="10" width="15.08984375" customWidth="1"/>
    <col min="13" max="13" width="9" bestFit="1" customWidth="1"/>
    <col min="14" max="14" width="10" bestFit="1" customWidth="1"/>
    <col min="15" max="15" width="9" bestFit="1" customWidth="1"/>
    <col min="16" max="16" width="10" bestFit="1" customWidth="1"/>
    <col min="17" max="18" width="10" customWidth="1"/>
    <col min="23" max="23" width="21.54296875" bestFit="1" customWidth="1"/>
  </cols>
  <sheetData>
    <row r="1" spans="1:20" ht="29.5" thickBot="1" x14ac:dyDescent="0.4">
      <c r="A1" t="s">
        <v>24</v>
      </c>
      <c r="B1" t="s">
        <v>0</v>
      </c>
      <c r="C1" t="s">
        <v>1</v>
      </c>
      <c r="D1" t="s">
        <v>2</v>
      </c>
      <c r="E1" t="s">
        <v>51</v>
      </c>
      <c r="F1" t="s">
        <v>52</v>
      </c>
      <c r="G1" t="s">
        <v>53</v>
      </c>
      <c r="H1" t="s">
        <v>54</v>
      </c>
      <c r="I1" t="s">
        <v>59</v>
      </c>
      <c r="J1" t="s">
        <v>60</v>
      </c>
      <c r="K1" t="s">
        <v>11</v>
      </c>
      <c r="L1" s="1">
        <f>Calcs!E11</f>
        <v>320</v>
      </c>
      <c r="M1" t="s">
        <v>13</v>
      </c>
      <c r="N1" s="18" t="s">
        <v>83</v>
      </c>
      <c r="O1" t="s">
        <v>14</v>
      </c>
      <c r="P1" s="18" t="s">
        <v>80</v>
      </c>
      <c r="Q1" s="18" t="s">
        <v>81</v>
      </c>
      <c r="R1" s="18" t="s">
        <v>82</v>
      </c>
      <c r="S1" s="9">
        <f>IF(Calcs!E14="CPI",P48)</f>
        <v>22.080000000000002</v>
      </c>
      <c r="T1" s="18" t="s">
        <v>87</v>
      </c>
    </row>
    <row r="2" spans="1:20" ht="15" thickBot="1" x14ac:dyDescent="0.4">
      <c r="E2" t="s">
        <v>55</v>
      </c>
      <c r="F2" t="s">
        <v>56</v>
      </c>
      <c r="G2" t="s">
        <v>57</v>
      </c>
      <c r="H2" t="s">
        <v>58</v>
      </c>
      <c r="I2" t="s">
        <v>61</v>
      </c>
      <c r="M2" s="1">
        <f>IF(VLOOKUP(Calcs!$E$13,Data!A3:P35,13,FALSE)&lt;55,VLOOKUP(Calcs!$E$13,Data!A3:P35,13,FALSE),"X")</f>
        <v>18.98</v>
      </c>
      <c r="N2" s="1">
        <f>IF(VLOOKUP(Calcs!$E$13,Data!A3:N35,14,FALSE)+1&lt;58.8,VLOOKUP(Calcs!$E$13,Data!A3:N35,14,FALSE)+1,"X")</f>
        <v>1</v>
      </c>
      <c r="O2" s="1">
        <f>IF(VLOOKUP(Calcs!$E$13,Data!A3:P35,15,FALSE)&lt;55,VLOOKUP(Calcs!$E$13,Data!A3:P35,15,FALSE),"X")</f>
        <v>19.380000000000003</v>
      </c>
      <c r="P2" s="1">
        <f>IF(VLOOKUP(Calcs!$E$13,Data!A3:P35,16,FALSE)+1&lt;58.8,VLOOKUP(Calcs!$E$13,Data!A3:P35,16,FALSE)+1,"X")</f>
        <v>1</v>
      </c>
      <c r="Q2">
        <f>IF(VLOOKUP(Calcs!$E$13,Data!A3:Q35,17,FALSE)+1&lt;58.8,VLOOKUP(Calcs!$E$13,Data!A3:Q35,17,FALSE)+1,"X")</f>
        <v>22.080000000000002</v>
      </c>
      <c r="R2">
        <f>IF(VLOOKUP(Calcs!$E$13,Data!A3:R35,18,FALSE)+1&lt;58.8,VLOOKUP(Calcs!$E$13,Data!A3:R35,18,FALSE)+1,"X")</f>
        <v>22.080000000000002</v>
      </c>
      <c r="S2" s="9">
        <f>IF(Calcs!E15="",0,Data!P82)</f>
        <v>0</v>
      </c>
      <c r="T2" t="s">
        <v>86</v>
      </c>
    </row>
    <row r="3" spans="1:20" x14ac:dyDescent="0.35">
      <c r="A3" t="s">
        <v>38</v>
      </c>
      <c r="B3">
        <v>50</v>
      </c>
      <c r="C3">
        <v>120</v>
      </c>
      <c r="D3">
        <v>113</v>
      </c>
      <c r="E3">
        <v>0.9</v>
      </c>
      <c r="F3">
        <v>1</v>
      </c>
      <c r="G3">
        <v>1.1000000000000001</v>
      </c>
      <c r="H3">
        <v>1.2</v>
      </c>
      <c r="I3">
        <v>1.3</v>
      </c>
      <c r="M3">
        <f>IF(($L$1/2000*D3)&lt;=29.9,+E3,IF(($L$1/2000*D3)&lt;=39.9,+F3,IF(($L$1/2000*D3)&lt;=49.9,+G3,IF(($L$1/2000*D3)&gt;=50,+H3,0))))+$L$1/2000*D3</f>
        <v>18.98</v>
      </c>
      <c r="N3">
        <f>IF((Calcs!$E$12="jacket Cased 2mm boards"),$L$1/2000*Data!D3+1.9*2,IF((Calcs!$E$12="jacket Cased 2.25mm boards"),$L$1/2000*Data!D3+2.25*2,IF((Calcs!$E$12="jacket Cased 2.5mm boards"),$L$1/2000*Data!D3+2.5*2,IF((Calcs!$E$12="jacket Cased 3mm boards"),$L$1/2000*Data!D3+2.75*2,))))</f>
        <v>0</v>
      </c>
      <c r="O3">
        <f>$L$1/2000*D3+I3</f>
        <v>19.380000000000003</v>
      </c>
      <c r="P3">
        <f>IF((Calcs!$E$12="jacket Cased 2mm boards"),$L$1/2000*Data!D3+1.9*2,IF((Calcs!$E$12="jacket Cased 2.25mm boards"),$L$1/2000*Data!D3+2.25*2,IF((Calcs!$E$12="jacket Cased 2.5mm boards"),$L$1/2000*Data!D3+2.5*2,IF((Calcs!$E$12="jacket Cased 3mm boards"),$L$1/2000*Data!D3+2.75*2,))))</f>
        <v>0</v>
      </c>
      <c r="Q3">
        <f>IF((Calcs!$E$12="PPC Cased 2mm boards - round backed"),$L$1/2000*Data!D3+3,IF((Calcs!$E$12="PPC Cased 2.25mm boards - round backed"),$L$1/2000*Data!D3+3,IF((Calcs!$E$12="PPC Cased 2.5mm boards - round backed"),$L$1/2000*Data!D3+3,IF((Calcs!$E$12="PPC Cased 3mm boards - round backed"),$L$1/2000*Data!D3+3,IF((Calcs!$E$12="PPC Cased 2mm boards - square backed"),$L$1/2000*Data!D3+1.9*2-2,IF((Calcs!$E$12="PPC Cased 2.25mm boards - square backed"),$L$1/2000*Data!D3+2.25*2-2,IF((Calcs!$E$12="PPC Cased 2.5mm boards - square backed"),$L$1/2000*Data!D3+2.5*2-2,IF((Calcs!$E$12="PPC Cased 3mm boards - square backed"),$L$1/2000*Data!D3+2.75*2-2,0))))))))</f>
        <v>21.080000000000002</v>
      </c>
      <c r="R3">
        <f>IF((Calcs!$E$12="PPC Cased 2mm boards - round backed"),$L$1/2000*Data!D3+3,IF((Calcs!$E$12="PPC Cased 2.25mm boards - round backed"),$L$1/2000*Data!D3+3,IF((Calcs!$E$12="PPC Cased 2.5mm boards - round backed"),$L$1/2000*Data!D3+3,IF((Calcs!$E$12="PPC Cased 3mm boards - round backed"),$L$1/2000*Data!D3+3,IF((Calcs!$E$12="PPC Cased 2mm boards - square backed"),$L$1/2000*Data!D3+1.9*2-2,IF((Calcs!$E$12="PPC Cased 2.25mm boards - square backed"),$L$1/2000*Data!D3+2.25*2-2,IF((Calcs!$E$12="PPC Cased 2.5mm boards - square backed"),$L$1/2000*Data!D3+2.5*2-2,IF((Calcs!$E$12="PPC Cased 3mm boards - square backed"),$L$1/2000*Data!D3+2.75*2-2,0))))))))</f>
        <v>21.080000000000002</v>
      </c>
    </row>
    <row r="4" spans="1:20" x14ac:dyDescent="0.35">
      <c r="A4" t="s">
        <v>67</v>
      </c>
      <c r="B4">
        <v>53</v>
      </c>
      <c r="C4">
        <v>127</v>
      </c>
      <c r="D4">
        <v>120</v>
      </c>
      <c r="E4">
        <v>0.9</v>
      </c>
      <c r="F4">
        <v>1</v>
      </c>
      <c r="G4">
        <v>1.1000000000000001</v>
      </c>
      <c r="H4">
        <v>1.2</v>
      </c>
      <c r="I4">
        <v>1.3</v>
      </c>
      <c r="M4">
        <f t="shared" ref="M4" si="0">IF(($L$1/2000*D4)&lt;=29.9,+E4,IF(($L$1/2000*D4)&lt;=39.9,+F4,IF(($L$1/2000*D4)&lt;=49.9,+G4,IF(($L$1/2000*D4)&gt;=50,+H4,0))))+$L$1/2000*D4</f>
        <v>20.099999999999998</v>
      </c>
      <c r="N4">
        <f>IF((Calcs!$E$12="jacket Cased 2mm boards"),$L$1/2000*Data!D4+1.9*2,IF((Calcs!$E$12="jacket Cased 2.25mm boards"),$L$1/2000*Data!D4+2.25*2,IF((Calcs!$E$12="jacket Cased 2.5mm boards"),$L$1/2000*Data!D4+2.5*2,IF((Calcs!$E$12="jacket Cased 3mm boards"),$L$1/2000*Data!D4+2.75*2,))))</f>
        <v>0</v>
      </c>
      <c r="O4">
        <f t="shared" ref="O4" si="1">$L$1/2000*D4+I4</f>
        <v>20.5</v>
      </c>
      <c r="P4">
        <f>IF((Calcs!$E$12="jacket Cased 2mm boards"),$L$1/2000*Data!D4+1.9*2,IF((Calcs!$E$12="jacket Cased 2.25mm boards"),$L$1/2000*Data!D4+2.25*2,IF((Calcs!$E$12="jacket Cased 2.5mm boards"),$L$1/2000*Data!D4+2.5*2,IF((Calcs!$E$12="jacket Cased 3mm boards"),$L$1/2000*Data!D4+2.75*2,))))</f>
        <v>0</v>
      </c>
      <c r="Q4">
        <f>IF((Calcs!$E$12="PPC Cased 2mm boards - round backed"),$L$1/2000*Data!D4+3,IF((Calcs!$E$12="PPC Cased 2.25mm boards - round backed"),$L$1/2000*Data!D4+3,IF((Calcs!$E$12="PPC Cased 2.5mm boards - round backed"),$L$1/2000*Data!D4+3,IF((Calcs!$E$12="PPC Cased 3mm boards - round backed"),$L$1/2000*Data!D4+3,IF((Calcs!$E$12="PPC Cased 2mm boards - square backed"),$L$1/2000*Data!D4+1.9*2-2,IF((Calcs!$E$12="PPC Cased 2.25mm boards - square backed"),$L$1/2000*Data!D4+2.25*2-2,IF((Calcs!$E$12="PPC Cased 2.5mm boards - square backed"),$L$1/2000*Data!D4+2.5*2-2,IF((Calcs!$E$12="PPC Cased 3mm boards - square backed"),$L$1/2000*Data!D4+2.75*2-2,0))))))))</f>
        <v>22.2</v>
      </c>
      <c r="R4">
        <f>IF((Calcs!$E$12="PPC Cased 2mm boards - round backed"),$L$1/2000*Data!D4+3,IF((Calcs!$E$12="PPC Cased 2.25mm boards - round backed"),$L$1/2000*Data!D4+3,IF((Calcs!$E$12="PPC Cased 2.5mm boards - round backed"),$L$1/2000*Data!D4+3,IF((Calcs!$E$12="PPC Cased 3mm boards - round backed"),$L$1/2000*Data!D4+3,IF((Calcs!$E$12="PPC Cased 2mm boards - square backed"),$L$1/2000*Data!D4+1.9*2-2,IF((Calcs!$E$12="PPC Cased 2.25mm boards - square backed"),$L$1/2000*Data!D4+2.25*2-2,IF((Calcs!$E$12="PPC Cased 2.5mm boards - square backed"),$L$1/2000*Data!D4+2.5*2-2,IF((Calcs!$E$12="PPC Cased 3mm boards - square backed"),$L$1/2000*Data!D4+2.75*2-2,0))))))))</f>
        <v>22.2</v>
      </c>
    </row>
    <row r="5" spans="1:20" x14ac:dyDescent="0.35">
      <c r="A5" t="s">
        <v>39</v>
      </c>
      <c r="B5">
        <v>80</v>
      </c>
      <c r="C5">
        <v>144</v>
      </c>
      <c r="D5">
        <v>138</v>
      </c>
      <c r="E5">
        <v>0.9</v>
      </c>
      <c r="F5">
        <v>1</v>
      </c>
      <c r="G5">
        <v>1.1000000000000001</v>
      </c>
      <c r="H5">
        <v>1.2</v>
      </c>
      <c r="I5">
        <v>1.3</v>
      </c>
      <c r="M5">
        <f t="shared" ref="M5:M28" si="2">IF(($L$1/2000*D5)&lt;=29.9,+E5,IF(($L$1/2000*D5)&lt;=39.9,+F5,IF(($L$1/2000*D5)&lt;=49.9,+G5,IF(($L$1/2000*D5)&gt;=50,+H5,0))))+$L$1/2000*D5</f>
        <v>22.98</v>
      </c>
      <c r="N5">
        <f>IF((Calcs!$E$12="jacket Cased 2mm boards"),$L$1/2000*Data!D5+1.9*2,IF((Calcs!$E$12="jacket Cased 2.25mm boards"),$L$1/2000*Data!D5+2.25*2,IF((Calcs!$E$12="jacket Cased 2.5mm boards"),$L$1/2000*Data!D5+2.5*2,IF((Calcs!$E$12="jacket Cased 3mm boards"),$L$1/2000*Data!D5+2.75*2,))))</f>
        <v>0</v>
      </c>
      <c r="O5">
        <f t="shared" ref="O5:O28" si="3">$L$1/2000*D5+I5</f>
        <v>23.380000000000003</v>
      </c>
      <c r="P5">
        <f>IF((Calcs!$E$12="jacket Cased 2mm boards"),$L$1/2000*Data!D5+1.9*2,IF((Calcs!$E$12="jacket Cased 2.25mm boards"),$L$1/2000*Data!D5+2.25*2,IF((Calcs!$E$12="jacket Cased 2.5mm boards"),$L$1/2000*Data!D5+2.5*2,IF((Calcs!$E$12="jacket Cased 3mm boards"),$L$1/2000*Data!D5+2.75*2,))))</f>
        <v>0</v>
      </c>
      <c r="Q5">
        <f>IF((Calcs!$E$12="PPC Cased 2mm boards - round backed"),$L$1/2000*Data!D5+3,IF((Calcs!$E$12="PPC Cased 2.25mm boards - round backed"),$L$1/2000*Data!D5+3,IF((Calcs!$E$12="PPC Cased 2.5mm boards - round backed"),$L$1/2000*Data!D5+3,IF((Calcs!$E$12="PPC Cased 3mm boards - round backed"),$L$1/2000*Data!D5+3,IF((Calcs!$E$12="PPC Cased 2mm boards - square backed"),$L$1/2000*Data!D5+1.9*2-2,IF((Calcs!$E$12="PPC Cased 2.25mm boards - square backed"),$L$1/2000*Data!D5+2.25*2-2,IF((Calcs!$E$12="PPC Cased 2.5mm boards - square backed"),$L$1/2000*Data!D5+2.5*2-2,IF((Calcs!$E$12="PPC Cased 3mm boards - square backed"),$L$1/2000*Data!D5+2.75*2-2,0))))))))</f>
        <v>25.080000000000002</v>
      </c>
      <c r="R5">
        <f>IF((Calcs!$E$12="PPC Cased 2mm boards - round backed"),$L$1/2000*Data!D5+3,IF((Calcs!$E$12="PPC Cased 2.25mm boards - round backed"),$L$1/2000*Data!D5+3,IF((Calcs!$E$12="PPC Cased 2.5mm boards - round backed"),$L$1/2000*Data!D5+3,IF((Calcs!$E$12="PPC Cased 3mm boards - round backed"),$L$1/2000*Data!D5+3,IF((Calcs!$E$12="PPC Cased 2mm boards - square backed"),$L$1/2000*Data!D5+1.9*2-2,IF((Calcs!$E$12="PPC Cased 2.25mm boards - square backed"),$L$1/2000*Data!D5+2.25*2-2,IF((Calcs!$E$12="PPC Cased 2.5mm boards - square backed"),$L$1/2000*Data!D5+2.5*2-2,IF((Calcs!$E$12="PPC Cased 3mm boards - square backed"),$L$1/2000*Data!D5+2.75*2-2,0))))))))</f>
        <v>25.080000000000002</v>
      </c>
      <c r="S5" s="11">
        <f>IF(Calcs!E12="limp",(ROUNDUP((S2+S1),1)),IF(Calcs!E12="jacket cased 2mm boards",(ROUNDUP((Data!S2+Data!S1),1)),IF(Calcs!E12="jacket cased 2.25mm boards",(ROUNDUP((Data!S2+Data!S1),1)),IF(Calcs!E12="jacket cased 2.5mm boards",(ROUNDUP((Data!S2+Data!S1),1)),IF(Calcs!E12="jacket cased 3mm boards",(ROUNDUP((Data!S2+Data!S1),1)),IF(Calcs!E12="ppc cased 2mm boards - round backed",(ROUNDUP((Data!S2+Data!S1),0)),IF(Calcs!E12="ppc cased 2.25mm boards - round backed",(ROUNDUP((Data!S2+Data!S1),0)),IF(Calcs!E12="ppc cased 2.5mm boards - round backed",(ROUNDUP((Data!S2+Data!S1),0)),IF(Calcs!E12="ppc cased 3mm boards - round backed",(ROUNDUP((Data!S2+Data!S1),0)),IF(Calcs!E12="ppc cased 3mm boards - square backed",(ROUNDUP((Data!S2+Data!S1),0)),IF(Calcs!E12="ppc cased 2mm boards - square backed",(ROUNDUP((Data!S2+Data!S1),0)),IF(Calcs!E12="ppc cased 2.25mm boards - square backed",(ROUNDUP((Data!S2+Data!S1),0)),IF(Calcs!E12="ppc cased 2.5mm boards - square backed",(ROUNDUP((Data!S2+Data!S1),0)))))))))))))))</f>
        <v>23</v>
      </c>
      <c r="T5" t="s">
        <v>88</v>
      </c>
    </row>
    <row r="6" spans="1:20" x14ac:dyDescent="0.35">
      <c r="A6" t="s">
        <v>69</v>
      </c>
      <c r="B6">
        <v>80</v>
      </c>
      <c r="C6">
        <v>160</v>
      </c>
      <c r="D6">
        <v>152</v>
      </c>
      <c r="E6">
        <v>0.9</v>
      </c>
      <c r="F6">
        <v>1</v>
      </c>
      <c r="G6">
        <v>1.1000000000000001</v>
      </c>
      <c r="H6">
        <v>1.2</v>
      </c>
      <c r="I6">
        <v>1.3</v>
      </c>
      <c r="M6">
        <f t="shared" ref="M6" si="4">IF(($L$1/2000*D6)&lt;=29.9,+E6,IF(($L$1/2000*D6)&lt;=39.9,+F6,IF(($L$1/2000*D6)&lt;=49.9,+G6,IF(($L$1/2000*D6)&gt;=50,+H6,0))))+$L$1/2000*D6</f>
        <v>25.22</v>
      </c>
      <c r="N6">
        <f>IF((Calcs!$E$12="jacket Cased 2mm boards"),$L$1/2000*Data!D6+1.9*2,IF((Calcs!$E$12="jacket Cased 2.25mm boards"),$L$1/2000*Data!D6+2.25*2,IF((Calcs!$E$12="jacket Cased 2.5mm boards"),$L$1/2000*Data!D6+2.5*2,IF((Calcs!$E$12="jacket Cased 3mm boards"),$L$1/2000*Data!D6+2.75*2,))))</f>
        <v>0</v>
      </c>
      <c r="O6">
        <f t="shared" ref="O6" si="5">$L$1/2000*D6+I6</f>
        <v>25.62</v>
      </c>
      <c r="P6">
        <f>IF((Calcs!$E$12="jacket Cased 2mm boards"),$L$1/2000*Data!D6+1.9*2,IF((Calcs!$E$12="jacket Cased 2.25mm boards"),$L$1/2000*Data!D6+2.25*2,IF((Calcs!$E$12="jacket Cased 2.5mm boards"),$L$1/2000*Data!D6+2.5*2,IF((Calcs!$E$12="jacket Cased 3mm boards"),$L$1/2000*Data!D6+2.75*2,))))</f>
        <v>0</v>
      </c>
      <c r="Q6">
        <f>IF((Calcs!$E$12="PPC Cased 2mm boards - round backed"),$L$1/2000*Data!D6+3,IF((Calcs!$E$12="PPC Cased 2.25mm boards - round backed"),$L$1/2000*Data!D6+3,IF((Calcs!$E$12="PPC Cased 2.5mm boards - round backed"),$L$1/2000*Data!D6+3,IF((Calcs!$E$12="PPC Cased 3mm boards - round backed"),$L$1/2000*Data!D6+3,IF((Calcs!$E$12="PPC Cased 2mm boards - square backed"),$L$1/2000*Data!D6+1.9*2-2,IF((Calcs!$E$12="PPC Cased 2.25mm boards - square backed"),$L$1/2000*Data!D6+2.25*2-2,IF((Calcs!$E$12="PPC Cased 2.5mm boards - square backed"),$L$1/2000*Data!D6+2.5*2-2,IF((Calcs!$E$12="PPC Cased 3mm boards - square backed"),$L$1/2000*Data!D6+2.75*2-2,0))))))))</f>
        <v>27.32</v>
      </c>
      <c r="R6">
        <f>IF((Calcs!$E$12="PPC Cased 2mm boards - round backed"),$L$1/2000*Data!D6+3,IF((Calcs!$E$12="PPC Cased 2.25mm boards - round backed"),$L$1/2000*Data!D6+3,IF((Calcs!$E$12="PPC Cased 2.5mm boards - round backed"),$L$1/2000*Data!D6+3,IF((Calcs!$E$12="PPC Cased 3mm boards - round backed"),$L$1/2000*Data!D6+3,IF((Calcs!$E$12="PPC Cased 2mm boards - square backed"),$L$1/2000*Data!D6+1.9*2-2,IF((Calcs!$E$12="PPC Cased 2.25mm boards - square backed"),$L$1/2000*Data!D6+2.25*2-2,IF((Calcs!$E$12="PPC Cased 2.5mm boards - square backed"),$L$1/2000*Data!D6+2.5*2-2,IF((Calcs!$E$12="PPC Cased 3mm boards - square backed"),$L$1/2000*Data!D6+2.75*2-2,0))))))))</f>
        <v>27.32</v>
      </c>
      <c r="S6" s="20" t="b">
        <f>IF(Calcs!E12="limp",(ROUNDUP((S2+S1),2)))</f>
        <v>0</v>
      </c>
      <c r="T6" t="s">
        <v>89</v>
      </c>
    </row>
    <row r="7" spans="1:20" x14ac:dyDescent="0.35">
      <c r="A7" t="s">
        <v>109</v>
      </c>
      <c r="B7">
        <v>50</v>
      </c>
      <c r="C7">
        <v>100</v>
      </c>
      <c r="D7">
        <v>93</v>
      </c>
      <c r="E7">
        <v>0.9</v>
      </c>
      <c r="F7">
        <v>1</v>
      </c>
      <c r="G7">
        <v>1.1000000000000001</v>
      </c>
      <c r="H7">
        <v>1.2</v>
      </c>
      <c r="I7">
        <v>1.3</v>
      </c>
      <c r="M7">
        <f t="shared" ref="M7" si="6">IF(($L$1/2000*D7)&lt;=29.9,+E7,IF(($L$1/2000*D7)&lt;=39.9,+F7,IF(($L$1/2000*D7)&lt;=49.9,+G7,IF(($L$1/2000*D7)&gt;=50,+H7,0))))+$L$1/2000*D7</f>
        <v>15.780000000000001</v>
      </c>
      <c r="N7">
        <f>IF((Calcs!$E$12="jacket Cased 2mm boards"),$L$1/2000*Data!D7+1.9*2,IF((Calcs!$E$12="jacket Cased 2.25mm boards"),$L$1/2000*Data!D7+2.25*2,IF((Calcs!$E$12="jacket Cased 2.5mm boards"),$L$1/2000*Data!D7+2.5*2,IF((Calcs!$E$12="jacket Cased 3mm boards"),$L$1/2000*Data!D7+2.75*2,))))</f>
        <v>0</v>
      </c>
      <c r="O7">
        <f t="shared" ref="O7" si="7">$L$1/2000*D7+I7</f>
        <v>16.18</v>
      </c>
      <c r="P7">
        <f>IF((Calcs!$E$12="jacket Cased 2mm boards"),$L$1/2000*Data!D7+1.9*2,IF((Calcs!$E$12="jacket Cased 2.25mm boards"),$L$1/2000*Data!D7+2.25*2,IF((Calcs!$E$12="jacket Cased 2.5mm boards"),$L$1/2000*Data!D7+2.5*2,IF((Calcs!$E$12="jacket Cased 3mm boards"),$L$1/2000*Data!D7+2.75*2,))))</f>
        <v>0</v>
      </c>
      <c r="Q7">
        <f>IF((Calcs!$E$12="PPC Cased 2mm boards - round backed"),$L$1/2000*Data!D7+3,IF((Calcs!$E$12="PPC Cased 2.25mm boards - round backed"),$L$1/2000*Data!D7+3,IF((Calcs!$E$12="PPC Cased 2.5mm boards - round backed"),$L$1/2000*Data!D7+3,IF((Calcs!$E$12="PPC Cased 3mm boards - round backed"),$L$1/2000*Data!D7+3,IF((Calcs!$E$12="PPC Cased 2mm boards - square backed"),$L$1/2000*Data!D7+1.9*2-2,IF((Calcs!$E$12="PPC Cased 2.25mm boards - square backed"),$L$1/2000*Data!D7+2.25*2-2,IF((Calcs!$E$12="PPC Cased 2.5mm boards - square backed"),$L$1/2000*Data!D7+2.5*2-2,IF((Calcs!$E$12="PPC Cased 3mm boards - square backed"),$L$1/2000*Data!D7+2.75*2-2,0))))))))</f>
        <v>17.880000000000003</v>
      </c>
      <c r="R7">
        <f>IF((Calcs!$E$12="PPC Cased 2mm boards - round backed"),$L$1/2000*Data!D7+3,IF((Calcs!$E$12="PPC Cased 2.25mm boards - round backed"),$L$1/2000*Data!D7+3,IF((Calcs!$E$12="PPC Cased 2.5mm boards - round backed"),$L$1/2000*Data!D7+3,IF((Calcs!$E$12="PPC Cased 3mm boards - round backed"),$L$1/2000*Data!D7+3,IF((Calcs!$E$12="PPC Cased 2mm boards - square backed"),$L$1/2000*Data!D7+1.9*2-2,IF((Calcs!$E$12="PPC Cased 2.25mm boards - square backed"),$L$1/2000*Data!D7+2.25*2-2,IF((Calcs!$E$12="PPC Cased 2.5mm boards - square backed"),$L$1/2000*Data!D7+2.5*2-2,IF((Calcs!$E$12="PPC Cased 3mm boards - square backed"),$L$1/2000*Data!D7+2.75*2-2,0))))))))</f>
        <v>17.880000000000003</v>
      </c>
      <c r="S7" s="20">
        <f>S5</f>
        <v>23</v>
      </c>
      <c r="T7" t="s">
        <v>90</v>
      </c>
    </row>
    <row r="8" spans="1:20" x14ac:dyDescent="0.35">
      <c r="A8" t="s">
        <v>111</v>
      </c>
      <c r="B8">
        <v>57</v>
      </c>
      <c r="C8">
        <v>120</v>
      </c>
      <c r="D8">
        <v>113</v>
      </c>
      <c r="E8">
        <v>0.9</v>
      </c>
      <c r="F8">
        <v>1</v>
      </c>
      <c r="G8">
        <v>1.1000000000000001</v>
      </c>
      <c r="H8">
        <v>1.2</v>
      </c>
      <c r="I8">
        <v>1.3</v>
      </c>
      <c r="M8">
        <f t="shared" ref="M8" si="8">IF(($L$1/2000*D8)&lt;=29.9,+E8,IF(($L$1/2000*D8)&lt;=39.9,+F8,IF(($L$1/2000*D8)&lt;=49.9,+G8,IF(($L$1/2000*D8)&gt;=50,+H8,0))))+$L$1/2000*D8</f>
        <v>18.98</v>
      </c>
      <c r="N8">
        <f>IF((Calcs!$E$12="jacket Cased 2mm boards"),$L$1/2000*Data!D8+1.9*2,IF((Calcs!$E$12="jacket Cased 2.25mm boards"),$L$1/2000*Data!D8+2.25*2,IF((Calcs!$E$12="jacket Cased 2.5mm boards"),$L$1/2000*Data!D8+2.5*2,IF((Calcs!$E$12="jacket Cased 3mm boards"),$L$1/2000*Data!D8+2.75*2,))))</f>
        <v>0</v>
      </c>
      <c r="O8">
        <f t="shared" ref="O8" si="9">$L$1/2000*D8+I8</f>
        <v>19.380000000000003</v>
      </c>
      <c r="P8">
        <f>IF((Calcs!$E$12="jacket Cased 2mm boards"),$L$1/2000*Data!D8+1.9*2,IF((Calcs!$E$12="jacket Cased 2.25mm boards"),$L$1/2000*Data!D8+2.25*2,IF((Calcs!$E$12="jacket Cased 2.5mm boards"),$L$1/2000*Data!D8+2.5*2,IF((Calcs!$E$12="jacket Cased 3mm boards"),$L$1/2000*Data!D8+2.75*2,))))</f>
        <v>0</v>
      </c>
      <c r="Q8">
        <f>IF((Calcs!$E$12="PPC Cased 2mm boards - round backed"),$L$1/2000*Data!D8+3,IF((Calcs!$E$12="PPC Cased 2.25mm boards - round backed"),$L$1/2000*Data!D8+3,IF((Calcs!$E$12="PPC Cased 2.5mm boards - round backed"),$L$1/2000*Data!D8+3,IF((Calcs!$E$12="PPC Cased 3mm boards - round backed"),$L$1/2000*Data!D8+3,IF((Calcs!$E$12="PPC Cased 2mm boards - square backed"),$L$1/2000*Data!D8+1.9*2-2,IF((Calcs!$E$12="PPC Cased 2.25mm boards - square backed"),$L$1/2000*Data!D8+2.25*2-2,IF((Calcs!$E$12="PPC Cased 2.5mm boards - square backed"),$L$1/2000*Data!D8+2.5*2-2,IF((Calcs!$E$12="PPC Cased 3mm boards - square backed"),$L$1/2000*Data!D8+2.75*2-2,0))))))))</f>
        <v>21.080000000000002</v>
      </c>
      <c r="R8">
        <f>IF((Calcs!$E$12="PPC Cased 2mm boards - round backed"),$L$1/2000*Data!D8+3,IF((Calcs!$E$12="PPC Cased 2.25mm boards - round backed"),$L$1/2000*Data!D8+3,IF((Calcs!$E$12="PPC Cased 2.5mm boards - round backed"),$L$1/2000*Data!D8+3,IF((Calcs!$E$12="PPC Cased 3mm boards - round backed"),$L$1/2000*Data!D8+3,IF((Calcs!$E$12="PPC Cased 2mm boards - square backed"),$L$1/2000*Data!D8+1.9*2-2,IF((Calcs!$E$12="PPC Cased 2.25mm boards - square backed"),$L$1/2000*Data!D8+2.25*2-2,IF((Calcs!$E$12="PPC Cased 2.5mm boards - square backed"),$L$1/2000*Data!D8+2.5*2-2,IF((Calcs!$E$12="PPC Cased 3mm boards - square backed"),$L$1/2000*Data!D8+2.75*2-2,0))))))))</f>
        <v>21.080000000000002</v>
      </c>
      <c r="S8" s="20"/>
    </row>
    <row r="9" spans="1:20" x14ac:dyDescent="0.35">
      <c r="A9" t="s">
        <v>66</v>
      </c>
      <c r="B9">
        <v>60</v>
      </c>
      <c r="C9">
        <v>120</v>
      </c>
      <c r="D9">
        <v>113</v>
      </c>
      <c r="E9">
        <v>0.9</v>
      </c>
      <c r="F9">
        <v>1</v>
      </c>
      <c r="G9">
        <v>1.1000000000000001</v>
      </c>
      <c r="H9">
        <v>1.2</v>
      </c>
      <c r="I9">
        <v>1.3</v>
      </c>
      <c r="M9">
        <f t="shared" ref="M9" si="10">IF(($L$1/2000*D9)&lt;=29.9,+E9,IF(($L$1/2000*D9)&lt;=39.9,+F9,IF(($L$1/2000*D9)&lt;=49.9,+G9,IF(($L$1/2000*D9)&gt;=50,+H9,0))))+$L$1/2000*D9</f>
        <v>18.98</v>
      </c>
      <c r="N9">
        <f>IF((Calcs!$E$12="jacket Cased 2mm boards"),$L$1/2000*Data!D9+1.9*2,IF((Calcs!$E$12="jacket Cased 2.25mm boards"),$L$1/2000*Data!D9+2.25*2,IF((Calcs!$E$12="jacket Cased 2.5mm boards"),$L$1/2000*Data!D9+2.5*2,IF((Calcs!$E$12="jacket Cased 3mm boards"),$L$1/2000*Data!D9+2.75*2,))))</f>
        <v>0</v>
      </c>
      <c r="O9">
        <f t="shared" ref="O9" si="11">$L$1/2000*D9+I9</f>
        <v>19.380000000000003</v>
      </c>
      <c r="P9">
        <f>IF((Calcs!$E$12="jacket Cased 2mm boards"),$L$1/2000*Data!D9+1.9*2,IF((Calcs!$E$12="jacket Cased 2.25mm boards"),$L$1/2000*Data!D9+2.25*2,IF((Calcs!$E$12="jacket Cased 2.5mm boards"),$L$1/2000*Data!D9+2.5*2,IF((Calcs!$E$12="jacket Cased 3mm boards"),$L$1/2000*Data!D9+2.75*2,))))</f>
        <v>0</v>
      </c>
      <c r="Q9">
        <f>IF((Calcs!$E$12="PPC Cased 2mm boards - round backed"),$L$1/2000*Data!D9+3,IF((Calcs!$E$12="PPC Cased 2.25mm boards - round backed"),$L$1/2000*Data!D9+3,IF((Calcs!$E$12="PPC Cased 2.5mm boards - round backed"),$L$1/2000*Data!D9+3,IF((Calcs!$E$12="PPC Cased 3mm boards - round backed"),$L$1/2000*Data!D9+3,IF((Calcs!$E$12="PPC Cased 2mm boards - square backed"),$L$1/2000*Data!D9+1.9*2-2,IF((Calcs!$E$12="PPC Cased 2.25mm boards - square backed"),$L$1/2000*Data!D9+2.25*2-2,IF((Calcs!$E$12="PPC Cased 2.5mm boards - square backed"),$L$1/2000*Data!D9+2.5*2-2,IF((Calcs!$E$12="PPC Cased 3mm boards - square backed"),$L$1/2000*Data!D9+2.75*2-2,0))))))))</f>
        <v>21.080000000000002</v>
      </c>
      <c r="R9">
        <f>IF((Calcs!$E$12="PPC Cased 2mm boards - round backed"),$L$1/2000*Data!D9+3,IF((Calcs!$E$12="PPC Cased 2.25mm boards - round backed"),$L$1/2000*Data!D9+3,IF((Calcs!$E$12="PPC Cased 2.5mm boards - round backed"),$L$1/2000*Data!D9+3,IF((Calcs!$E$12="PPC Cased 3mm boards - round backed"),$L$1/2000*Data!D9+3,IF((Calcs!$E$12="PPC Cased 2mm boards - square backed"),$L$1/2000*Data!D9+1.9*2-2,IF((Calcs!$E$12="PPC Cased 2.25mm boards - square backed"),$L$1/2000*Data!D9+2.25*2-2,IF((Calcs!$E$12="PPC Cased 2.5mm boards - square backed"),$L$1/2000*Data!D9+2.5*2-2,IF((Calcs!$E$12="PPC Cased 3mm boards - square backed"),$L$1/2000*Data!D9+2.75*2-2,0))))))))</f>
        <v>21.080000000000002</v>
      </c>
      <c r="S9" s="20"/>
    </row>
    <row r="10" spans="1:20" x14ac:dyDescent="0.35">
      <c r="A10" t="s">
        <v>105</v>
      </c>
      <c r="B10">
        <v>65</v>
      </c>
      <c r="C10">
        <v>140</v>
      </c>
      <c r="D10">
        <v>133</v>
      </c>
      <c r="E10">
        <v>0.9</v>
      </c>
      <c r="F10">
        <v>1</v>
      </c>
      <c r="G10">
        <v>1.1000000000000001</v>
      </c>
      <c r="H10">
        <v>1.2</v>
      </c>
      <c r="I10">
        <v>1.3</v>
      </c>
      <c r="M10">
        <f t="shared" ref="M10" si="12">IF(($L$1/2000*D10)&lt;=29.9,+E10,IF(($L$1/2000*D10)&lt;=39.9,+F10,IF(($L$1/2000*D10)&lt;=49.9,+G10,IF(($L$1/2000*D10)&gt;=50,+H10,0))))+$L$1/2000*D10</f>
        <v>22.18</v>
      </c>
      <c r="N10">
        <f>IF((Calcs!$E$12="jacket Cased 2mm boards"),$L$1/2000*Data!D10+1.9*2,IF((Calcs!$E$12="jacket Cased 2.25mm boards"),$L$1/2000*Data!D10+2.25*2,IF((Calcs!$E$12="jacket Cased 2.5mm boards"),$L$1/2000*Data!D10+2.5*2,IF((Calcs!$E$12="jacket Cased 3mm boards"),$L$1/2000*Data!D10+2.75*2,))))</f>
        <v>0</v>
      </c>
      <c r="O10">
        <f t="shared" ref="O10" si="13">$L$1/2000*D10+I10</f>
        <v>22.580000000000002</v>
      </c>
      <c r="P10">
        <f>IF((Calcs!$E$12="jacket Cased 2mm boards"),$L$1/2000*Data!D10+1.9*2,IF((Calcs!$E$12="jacket Cased 2.25mm boards"),$L$1/2000*Data!D10+2.25*2,IF((Calcs!$E$12="jacket Cased 2.5mm boards"),$L$1/2000*Data!D10+2.5*2,IF((Calcs!$E$12="jacket Cased 3mm boards"),$L$1/2000*Data!D10+2.75*2,))))</f>
        <v>0</v>
      </c>
      <c r="Q10">
        <f>IF((Calcs!$E$12="PPC Cased 2mm boards - round backed"),$L$1/2000*Data!D10+3,IF((Calcs!$E$12="PPC Cased 2.25mm boards - round backed"),$L$1/2000*Data!D10+3,IF((Calcs!$E$12="PPC Cased 2.5mm boards - round backed"),$L$1/2000*Data!D10+3,IF((Calcs!$E$12="PPC Cased 3mm boards - round backed"),$L$1/2000*Data!D10+3,IF((Calcs!$E$12="PPC Cased 2mm boards - square backed"),$L$1/2000*Data!D10+1.9*2-2,IF((Calcs!$E$12="PPC Cased 2.25mm boards - square backed"),$L$1/2000*Data!D10+2.25*2-2,IF((Calcs!$E$12="PPC Cased 2.5mm boards - square backed"),$L$1/2000*Data!D10+2.5*2-2,IF((Calcs!$E$12="PPC Cased 3mm boards - square backed"),$L$1/2000*Data!D10+2.75*2-2,0))))))))</f>
        <v>24.28</v>
      </c>
      <c r="R10">
        <f>IF((Calcs!$E$12="PPC Cased 2mm boards - round backed"),$L$1/2000*Data!D10+3,IF((Calcs!$E$12="PPC Cased 2.25mm boards - round backed"),$L$1/2000*Data!D10+3,IF((Calcs!$E$12="PPC Cased 2.5mm boards - round backed"),$L$1/2000*Data!D10+3,IF((Calcs!$E$12="PPC Cased 3mm boards - round backed"),$L$1/2000*Data!D10+3,IF((Calcs!$E$12="PPC Cased 2mm boards - square backed"),$L$1/2000*Data!D10+1.9*2-2,IF((Calcs!$E$12="PPC Cased 2.25mm boards - square backed"),$L$1/2000*Data!D10+2.25*2-2,IF((Calcs!$E$12="PPC Cased 2.5mm boards - square backed"),$L$1/2000*Data!D10+2.5*2-2,IF((Calcs!$E$12="PPC Cased 3mm boards - square backed"),$L$1/2000*Data!D10+2.75*2-2,0))))))))</f>
        <v>24.28</v>
      </c>
      <c r="S10" s="20">
        <f>IF(S5&lt;30,S5,IF(S5&gt;45,S5+2,S5+1))</f>
        <v>23</v>
      </c>
      <c r="T10" t="s">
        <v>99</v>
      </c>
    </row>
    <row r="11" spans="1:20" x14ac:dyDescent="0.35">
      <c r="A11" t="s">
        <v>40</v>
      </c>
      <c r="B11">
        <v>70</v>
      </c>
      <c r="C11">
        <v>140</v>
      </c>
      <c r="D11">
        <v>133</v>
      </c>
      <c r="E11">
        <v>0.9</v>
      </c>
      <c r="F11">
        <v>1</v>
      </c>
      <c r="G11">
        <v>1.1000000000000001</v>
      </c>
      <c r="H11">
        <v>1.2</v>
      </c>
      <c r="I11">
        <v>1.3</v>
      </c>
      <c r="M11">
        <f t="shared" si="2"/>
        <v>22.18</v>
      </c>
      <c r="N11">
        <f>IF((Calcs!$E$12="jacket Cased 2mm boards"),$L$1/2000*Data!D11+1.9*2,IF((Calcs!$E$12="jacket Cased 2.25mm boards"),$L$1/2000*Data!D11+2.25*2,IF((Calcs!$E$12="jacket Cased 2.5mm boards"),$L$1/2000*Data!D11+2.5*2,IF((Calcs!$E$12="jacket Cased 3mm boards"),$L$1/2000*Data!D11+2.75*2,))))</f>
        <v>0</v>
      </c>
      <c r="O11">
        <f t="shared" si="3"/>
        <v>22.580000000000002</v>
      </c>
      <c r="P11">
        <f>IF((Calcs!$E$12="jacket Cased 2mm boards"),$L$1/2000*Data!D11+1.9*2,IF((Calcs!$E$12="jacket Cased 2.25mm boards"),$L$1/2000*Data!D11+2.25*2,IF((Calcs!$E$12="jacket Cased 2.5mm boards"),$L$1/2000*Data!D11+2.5*2,IF((Calcs!$E$12="jacket Cased 3mm boards"),$L$1/2000*Data!D11+2.75*2,))))</f>
        <v>0</v>
      </c>
      <c r="Q11">
        <f>IF((Calcs!$E$12="PPC Cased 2mm boards - round backed"),$L$1/2000*Data!D11+3,IF((Calcs!$E$12="PPC Cased 2.25mm boards - round backed"),$L$1/2000*Data!D11+3,IF((Calcs!$E$12="PPC Cased 2.5mm boards - round backed"),$L$1/2000*Data!D11+3,IF((Calcs!$E$12="PPC Cased 3mm boards - round backed"),$L$1/2000*Data!D11+3,IF((Calcs!$E$12="PPC Cased 2mm boards - square backed"),$L$1/2000*Data!D11+1.9*2-2,IF((Calcs!$E$12="PPC Cased 2.25mm boards - square backed"),$L$1/2000*Data!D11+2.25*2-2,IF((Calcs!$E$12="PPC Cased 2.5mm boards - square backed"),$L$1/2000*Data!D11+2.5*2-2,IF((Calcs!$E$12="PPC Cased 3mm boards - square backed"),$L$1/2000*Data!D11+2.75*2-2,0))))))))</f>
        <v>24.28</v>
      </c>
      <c r="R11">
        <f>IF((Calcs!$E$12="PPC Cased 2mm boards - round backed"),$L$1/2000*Data!D11+3,IF((Calcs!$E$12="PPC Cased 2.25mm boards - round backed"),$L$1/2000*Data!D11+3,IF((Calcs!$E$12="PPC Cased 2.5mm boards - round backed"),$L$1/2000*Data!D11+3,IF((Calcs!$E$12="PPC Cased 3mm boards - round backed"),$L$1/2000*Data!D11+3,IF((Calcs!$E$12="PPC Cased 2mm boards - square backed"),$L$1/2000*Data!D11+1.9*2-2,IF((Calcs!$E$12="PPC Cased 2.25mm boards - square backed"),$L$1/2000*Data!D11+2.25*2-2,IF((Calcs!$E$12="PPC Cased 2.5mm boards - square backed"),$L$1/2000*Data!D11+2.5*2-2,IF((Calcs!$E$12="PPC Cased 3mm boards - square backed"),$L$1/2000*Data!D11+2.75*2-2,0))))))))</f>
        <v>24.28</v>
      </c>
      <c r="S11" s="20"/>
    </row>
    <row r="12" spans="1:20" x14ac:dyDescent="0.35">
      <c r="A12" t="s">
        <v>41</v>
      </c>
      <c r="B12">
        <v>70</v>
      </c>
      <c r="C12">
        <v>140</v>
      </c>
      <c r="D12">
        <v>131</v>
      </c>
      <c r="E12">
        <v>0.9</v>
      </c>
      <c r="F12">
        <v>1</v>
      </c>
      <c r="G12">
        <v>1.1000000000000001</v>
      </c>
      <c r="H12">
        <v>1.2</v>
      </c>
      <c r="I12">
        <v>1.3</v>
      </c>
      <c r="M12">
        <f t="shared" si="2"/>
        <v>21.86</v>
      </c>
      <c r="N12">
        <f>IF((Calcs!$E$12="jacket Cased 2mm boards"),$L$1/2000*Data!D12+1.9*2,IF((Calcs!$E$12="jacket Cased 2.25mm boards"),$L$1/2000*Data!D12+2.25*2,IF((Calcs!$E$12="jacket Cased 2.5mm boards"),$L$1/2000*Data!D12+2.5*2,IF((Calcs!$E$12="jacket Cased 3mm boards"),$L$1/2000*Data!D12+2.75*2,))))</f>
        <v>0</v>
      </c>
      <c r="O12">
        <f t="shared" si="3"/>
        <v>22.26</v>
      </c>
      <c r="P12">
        <f>IF((Calcs!$E$12="jacket Cased 2mm boards"),$L$1/2000*Data!D12+1.9*2,IF((Calcs!$E$12="jacket Cased 2.25mm boards"),$L$1/2000*Data!D12+2.25*2,IF((Calcs!$E$12="jacket Cased 2.5mm boards"),$L$1/2000*Data!D12+2.5*2,IF((Calcs!$E$12="jacket Cased 3mm boards"),$L$1/2000*Data!D12+2.75*2,))))</f>
        <v>0</v>
      </c>
      <c r="Q12">
        <f>IF((Calcs!$E$12="PPC Cased 2mm boards - round backed"),$L$1/2000*Data!D12+3,IF((Calcs!$E$12="PPC Cased 2.25mm boards - round backed"),$L$1/2000*Data!D12+3,IF((Calcs!$E$12="PPC Cased 2.5mm boards - round backed"),$L$1/2000*Data!D12+3,IF((Calcs!$E$12="PPC Cased 3mm boards - round backed"),$L$1/2000*Data!D12+3,IF((Calcs!$E$12="PPC Cased 2mm boards - square backed"),$L$1/2000*Data!D12+1.9*2-2,IF((Calcs!$E$12="PPC Cased 2.25mm boards - square backed"),$L$1/2000*Data!D12+2.25*2-2,IF((Calcs!$E$12="PPC Cased 2.5mm boards - square backed"),$L$1/2000*Data!D12+2.5*2-2,IF((Calcs!$E$12="PPC Cased 3mm boards - square backed"),$L$1/2000*Data!D12+2.75*2-2,0))))))))</f>
        <v>23.96</v>
      </c>
      <c r="R12">
        <f>IF((Calcs!$E$12="PPC Cased 2mm boards - round backed"),$L$1/2000*Data!D12+3,IF((Calcs!$E$12="PPC Cased 2.25mm boards - round backed"),$L$1/2000*Data!D12+3,IF((Calcs!$E$12="PPC Cased 2.5mm boards - round backed"),$L$1/2000*Data!D12+3,IF((Calcs!$E$12="PPC Cased 3mm boards - round backed"),$L$1/2000*Data!D12+3,IF((Calcs!$E$12="PPC Cased 2mm boards - square backed"),$L$1/2000*Data!D12+1.9*2-2,IF((Calcs!$E$12="PPC Cased 2.25mm boards - square backed"),$L$1/2000*Data!D12+2.25*2-2,IF((Calcs!$E$12="PPC Cased 2.5mm boards - square backed"),$L$1/2000*Data!D12+2.5*2-2,IF((Calcs!$E$12="PPC Cased 3mm boards - square backed"),$L$1/2000*Data!D12+2.75*2-2,0))))))))</f>
        <v>23.96</v>
      </c>
      <c r="S12">
        <f>S5</f>
        <v>23</v>
      </c>
      <c r="T12" t="s">
        <v>100</v>
      </c>
    </row>
    <row r="13" spans="1:20" x14ac:dyDescent="0.35">
      <c r="A13" t="s">
        <v>42</v>
      </c>
      <c r="B13">
        <v>70</v>
      </c>
      <c r="C13">
        <v>140</v>
      </c>
      <c r="D13">
        <v>131</v>
      </c>
      <c r="E13">
        <v>0.9</v>
      </c>
      <c r="F13">
        <v>1</v>
      </c>
      <c r="G13">
        <v>1.1000000000000001</v>
      </c>
      <c r="H13">
        <v>1.2</v>
      </c>
      <c r="I13">
        <v>1.3</v>
      </c>
      <c r="M13">
        <f t="shared" si="2"/>
        <v>21.86</v>
      </c>
      <c r="N13">
        <f>IF((Calcs!$E$12="jacket Cased 2mm boards"),$L$1/2000*Data!D13+1.9*2,IF((Calcs!$E$12="jacket Cased 2.25mm boards"),$L$1/2000*Data!D13+2.25*2,IF((Calcs!$E$12="jacket Cased 2.5mm boards"),$L$1/2000*Data!D13+2.5*2,IF((Calcs!$E$12="jacket Cased 3mm boards"),$L$1/2000*Data!D13+2.75*2,))))</f>
        <v>0</v>
      </c>
      <c r="O13">
        <f t="shared" si="3"/>
        <v>22.26</v>
      </c>
      <c r="P13">
        <f>IF((Calcs!$E$12="jacket Cased 2mm boards"),$L$1/2000*Data!D13+1.9*2,IF((Calcs!$E$12="jacket Cased 2.25mm boards"),$L$1/2000*Data!D13+2.25*2,IF((Calcs!$E$12="jacket Cased 2.5mm boards"),$L$1/2000*Data!D13+2.5*2,IF((Calcs!$E$12="jacket Cased 3mm boards"),$L$1/2000*Data!D13+2.75*2,))))</f>
        <v>0</v>
      </c>
      <c r="Q13">
        <f>IF((Calcs!$E$12="PPC Cased 2mm boards - round backed"),$L$1/2000*Data!D13+3,IF((Calcs!$E$12="PPC Cased 2.25mm boards - round backed"),$L$1/2000*Data!D13+3,IF((Calcs!$E$12="PPC Cased 2.5mm boards - round backed"),$L$1/2000*Data!D13+3,IF((Calcs!$E$12="PPC Cased 3mm boards - round backed"),$L$1/2000*Data!D13+3,IF((Calcs!$E$12="PPC Cased 2mm boards - square backed"),$L$1/2000*Data!D13+1.9*2-2,IF((Calcs!$E$12="PPC Cased 2.25mm boards - square backed"),$L$1/2000*Data!D13+2.25*2-2,IF((Calcs!$E$12="PPC Cased 2.5mm boards - square backed"),$L$1/2000*Data!D13+2.5*2-2,IF((Calcs!$E$12="PPC Cased 3mm boards - square backed"),$L$1/2000*Data!D13+2.75*2-2,0))))))))</f>
        <v>23.96</v>
      </c>
      <c r="R13">
        <f>IF((Calcs!$E$12="PPC Cased 2mm boards - round backed"),$L$1/2000*Data!D13+3,IF((Calcs!$E$12="PPC Cased 2.25mm boards - round backed"),$L$1/2000*Data!D13+3,IF((Calcs!$E$12="PPC Cased 2.5mm boards - round backed"),$L$1/2000*Data!D13+3,IF((Calcs!$E$12="PPC Cased 3mm boards - round backed"),$L$1/2000*Data!D13+3,IF((Calcs!$E$12="PPC Cased 2mm boards - square backed"),$L$1/2000*Data!D13+1.9*2-2,IF((Calcs!$E$12="PPC Cased 2.25mm boards - square backed"),$L$1/2000*Data!D13+2.25*2-2,IF((Calcs!$E$12="PPC Cased 2.5mm boards - square backed"),$L$1/2000*Data!D13+2.5*2-2,IF((Calcs!$E$12="PPC Cased 3mm boards - square backed"),$L$1/2000*Data!D13+2.75*2-2,0))))))))</f>
        <v>23.96</v>
      </c>
      <c r="S13" s="21">
        <f>IF(Calcs!E12="limp",Data!S6,IF(Calcs!E12="ppc cased 3mm boards - square backed",Data!S12,IF(Calcs!E12="ppc cased 2.5mm boards - square backed",Data!S12,IF(Calcs!E12="ppc cased 2.25mm boards - square backed",Data!S12,IF(Calcs!E12="ppc cased 2mm boards - square backed",Data!S12,IF(Calcs!E12="ppc cased 3mm boards - round backed",Data!S10,IF(Calcs!E12="ppc cased 2.5mm boards - round backed",Data!S10,IF(Calcs!E12="ppc cased 2.25mm boards - round backed",Data!S10,IF(Calcs!E12="ppc cased 2mm boards - round backed",Data!S10,IF(Calcs!E12="jacket cased 2mm boards",Data!S7,IF(Calcs!E12="jacket cased 2.25mm boards",Data!S7,IF(Calcs!E12="jacket cased 2.5mm boards",Data!S7,IF(Calcs!E12="jacket cased 3mm boards",Data!S7)))))))))))))</f>
        <v>23</v>
      </c>
      <c r="T13" t="s">
        <v>91</v>
      </c>
    </row>
    <row r="14" spans="1:20" x14ac:dyDescent="0.35">
      <c r="A14" t="s">
        <v>43</v>
      </c>
      <c r="B14">
        <v>60</v>
      </c>
      <c r="C14">
        <v>120</v>
      </c>
      <c r="D14">
        <v>113</v>
      </c>
      <c r="E14">
        <v>0.9</v>
      </c>
      <c r="F14">
        <v>1</v>
      </c>
      <c r="G14">
        <v>1.1000000000000001</v>
      </c>
      <c r="H14">
        <v>1.2</v>
      </c>
      <c r="I14">
        <v>1.3</v>
      </c>
      <c r="M14">
        <f t="shared" si="2"/>
        <v>18.98</v>
      </c>
      <c r="N14">
        <f>IF((Calcs!$E$12="jacket Cased 2mm boards"),$L$1/2000*Data!D14+1.9*2,IF((Calcs!$E$12="jacket Cased 2.25mm boards"),$L$1/2000*Data!D14+2.25*2,IF((Calcs!$E$12="jacket Cased 2.5mm boards"),$L$1/2000*Data!D14+2.5*2,IF((Calcs!$E$12="jacket Cased 3mm boards"),$L$1/2000*Data!D14+2.75*2,))))</f>
        <v>0</v>
      </c>
      <c r="O14">
        <f t="shared" si="3"/>
        <v>19.380000000000003</v>
      </c>
      <c r="P14">
        <f>IF((Calcs!$E$12="jacket Cased 2mm boards"),$L$1/2000*Data!D14+1.9*2,IF((Calcs!$E$12="jacket Cased 2.25mm boards"),$L$1/2000*Data!D14+2.25*2,IF((Calcs!$E$12="jacket Cased 2.5mm boards"),$L$1/2000*Data!D14+2.5*2,IF((Calcs!$E$12="jacket Cased 3mm boards"),$L$1/2000*Data!D14+2.75*2,))))</f>
        <v>0</v>
      </c>
      <c r="Q14">
        <f>IF((Calcs!$E$12="PPC Cased 2mm boards - round backed"),$L$1/2000*Data!D14+3,IF((Calcs!$E$12="PPC Cased 2.25mm boards - round backed"),$L$1/2000*Data!D14+3,IF((Calcs!$E$12="PPC Cased 2.5mm boards - round backed"),$L$1/2000*Data!D14+3,IF((Calcs!$E$12="PPC Cased 3mm boards - round backed"),$L$1/2000*Data!D14+3,IF((Calcs!$E$12="PPC Cased 2mm boards - square backed"),$L$1/2000*Data!D14+1.9*2-2,IF((Calcs!$E$12="PPC Cased 2.25mm boards - square backed"),$L$1/2000*Data!D14+2.25*2-2,IF((Calcs!$E$12="PPC Cased 2.5mm boards - square backed"),$L$1/2000*Data!D14+2.5*2-2,IF((Calcs!$E$12="PPC Cased 3mm boards - square backed"),$L$1/2000*Data!D14+2.75*2-2,0))))))))</f>
        <v>21.080000000000002</v>
      </c>
      <c r="R14">
        <f>IF((Calcs!$E$12="PPC Cased 2mm boards - round backed"),$L$1/2000*Data!D14+3,IF((Calcs!$E$12="PPC Cased 2.25mm boards - round backed"),$L$1/2000*Data!D14+3,IF((Calcs!$E$12="PPC Cased 2.5mm boards - round backed"),$L$1/2000*Data!D14+3,IF((Calcs!$E$12="PPC Cased 3mm boards - round backed"),$L$1/2000*Data!D14+3,IF((Calcs!$E$12="PPC Cased 2mm boards - square backed"),$L$1/2000*Data!D14+1.9*2-2,IF((Calcs!$E$12="PPC Cased 2.25mm boards - square backed"),$L$1/2000*Data!D14+2.25*2-2,IF((Calcs!$E$12="PPC Cased 2.5mm boards - square backed"),$L$1/2000*Data!D14+2.5*2-2,IF((Calcs!$E$12="PPC Cased 3mm boards - square backed"),$L$1/2000*Data!D14+2.75*2-2,0))))))))</f>
        <v>21.080000000000002</v>
      </c>
    </row>
    <row r="15" spans="1:20" x14ac:dyDescent="0.35">
      <c r="A15" t="s">
        <v>44</v>
      </c>
      <c r="B15">
        <v>70</v>
      </c>
      <c r="C15">
        <v>140</v>
      </c>
      <c r="D15">
        <v>133</v>
      </c>
      <c r="E15">
        <v>0.9</v>
      </c>
      <c r="F15">
        <v>1</v>
      </c>
      <c r="G15">
        <v>1.1000000000000001</v>
      </c>
      <c r="H15">
        <v>1.2</v>
      </c>
      <c r="I15">
        <v>1.3</v>
      </c>
      <c r="M15">
        <f t="shared" si="2"/>
        <v>22.18</v>
      </c>
      <c r="N15">
        <f>IF((Calcs!$E$12="jacket Cased 2mm boards"),$L$1/2000*Data!D15+1.9*2,IF((Calcs!$E$12="jacket Cased 2.25mm boards"),$L$1/2000*Data!D15+2.25*2,IF((Calcs!$E$12="jacket Cased 2.5mm boards"),$L$1/2000*Data!D15+2.5*2,IF((Calcs!$E$12="jacket Cased 3mm boards"),$L$1/2000*Data!D15+2.75*2,))))</f>
        <v>0</v>
      </c>
      <c r="O15">
        <f t="shared" si="3"/>
        <v>22.580000000000002</v>
      </c>
      <c r="P15">
        <f>IF((Calcs!$E$12="jacket Cased 2mm boards"),$L$1/2000*Data!D15+1.9*2,IF((Calcs!$E$12="jacket Cased 2.25mm boards"),$L$1/2000*Data!D15+2.25*2,IF((Calcs!$E$12="jacket Cased 2.5mm boards"),$L$1/2000*Data!D15+2.5*2,IF((Calcs!$E$12="jacket Cased 3mm boards"),$L$1/2000*Data!D15+2.75*2,))))</f>
        <v>0</v>
      </c>
      <c r="Q15">
        <f>IF((Calcs!$E$12="PPC Cased 2mm boards - round backed"),$L$1/2000*Data!D15+3,IF((Calcs!$E$12="PPC Cased 2.25mm boards - round backed"),$L$1/2000*Data!D15+3,IF((Calcs!$E$12="PPC Cased 2.5mm boards - round backed"),$L$1/2000*Data!D15+3,IF((Calcs!$E$12="PPC Cased 3mm boards - round backed"),$L$1/2000*Data!D15+3,IF((Calcs!$E$12="PPC Cased 2mm boards - square backed"),$L$1/2000*Data!D15+1.9*2-2,IF((Calcs!$E$12="PPC Cased 2.25mm boards - square backed"),$L$1/2000*Data!D15+2.25*2-2,IF((Calcs!$E$12="PPC Cased 2.5mm boards - square backed"),$L$1/2000*Data!D15+2.5*2-2,IF((Calcs!$E$12="PPC Cased 3mm boards - square backed"),$L$1/2000*Data!D15+2.75*2-2,0))))))))</f>
        <v>24.28</v>
      </c>
      <c r="R15">
        <f>IF((Calcs!$E$12="PPC Cased 2mm boards - round backed"),$L$1/2000*Data!D15+3,IF((Calcs!$E$12="PPC Cased 2.25mm boards - round backed"),$L$1/2000*Data!D15+3,IF((Calcs!$E$12="PPC Cased 2.5mm boards - round backed"),$L$1/2000*Data!D15+3,IF((Calcs!$E$12="PPC Cased 3mm boards - round backed"),$L$1/2000*Data!D15+3,IF((Calcs!$E$12="PPC Cased 2mm boards - square backed"),$L$1/2000*Data!D15+1.9*2-2,IF((Calcs!$E$12="PPC Cased 2.25mm boards - square backed"),$L$1/2000*Data!D15+2.25*2-2,IF((Calcs!$E$12="PPC Cased 2.5mm boards - square backed"),$L$1/2000*Data!D15+2.5*2-2,IF((Calcs!$E$12="PPC Cased 3mm boards - square backed"),$L$1/2000*Data!D15+2.75*2-2,0))))))))</f>
        <v>24.28</v>
      </c>
    </row>
    <row r="16" spans="1:20" x14ac:dyDescent="0.35">
      <c r="A16" t="s">
        <v>112</v>
      </c>
      <c r="B16">
        <v>50</v>
      </c>
      <c r="C16">
        <f>2.3*B16</f>
        <v>114.99999999999999</v>
      </c>
      <c r="D16">
        <v>109</v>
      </c>
      <c r="E16">
        <v>0.9</v>
      </c>
      <c r="F16">
        <v>1</v>
      </c>
      <c r="G16">
        <v>1.1000000000000001</v>
      </c>
      <c r="H16">
        <v>1.2</v>
      </c>
      <c r="I16">
        <v>1.3</v>
      </c>
      <c r="M16">
        <f t="shared" ref="M16" si="14">IF(($L$1/2000*D16)&lt;=29.9,+E16,IF(($L$1/2000*D16)&lt;=39.9,+F16,IF(($L$1/2000*D16)&lt;=49.9,+G16,IF(($L$1/2000*D16)&gt;=50,+H16,0))))+$L$1/2000*D16</f>
        <v>18.34</v>
      </c>
      <c r="N16">
        <f>IF((Calcs!$E$12="jacket Cased 2mm boards"),$L$1/2000*Data!D16+1.9*2,IF((Calcs!$E$12="jacket Cased 2.25mm boards"),$L$1/2000*Data!D16+2.25*2,IF((Calcs!$E$12="jacket Cased 2.5mm boards"),$L$1/2000*Data!D16+2.5*2,IF((Calcs!$E$12="jacket Cased 3mm boards"),$L$1/2000*Data!D16+2.75*2,))))</f>
        <v>0</v>
      </c>
      <c r="O16">
        <f t="shared" ref="O16" si="15">$L$1/2000*D16+I16</f>
        <v>18.740000000000002</v>
      </c>
      <c r="P16">
        <f>IF((Calcs!$E$12="jacket Cased 2mm boards"),$L$1/2000*Data!D16+1.9*2,IF((Calcs!$E$12="jacket Cased 2.25mm boards"),$L$1/2000*Data!D16+2.25*2,IF((Calcs!$E$12="jacket Cased 2.5mm boards"),$L$1/2000*Data!D16+2.5*2,IF((Calcs!$E$12="jacket Cased 3mm boards"),$L$1/2000*Data!D16+2.75*2,))))</f>
        <v>0</v>
      </c>
      <c r="Q16">
        <f>IF((Calcs!$E$12="PPC Cased 2mm boards - round backed"),$L$1/2000*Data!D16+3,IF((Calcs!$E$12="PPC Cased 2.25mm boards - round backed"),$L$1/2000*Data!D16+3,IF((Calcs!$E$12="PPC Cased 2.5mm boards - round backed"),$L$1/2000*Data!D16+3,IF((Calcs!$E$12="PPC Cased 3mm boards - round backed"),$L$1/2000*Data!D16+3,IF((Calcs!$E$12="PPC Cased 2mm boards - square backed"),$L$1/2000*Data!D16+1.9*2-2,IF((Calcs!$E$12="PPC Cased 2.25mm boards - square backed"),$L$1/2000*Data!D16+2.25*2-2,IF((Calcs!$E$12="PPC Cased 2.5mm boards - square backed"),$L$1/2000*Data!D16+2.5*2-2,IF((Calcs!$E$12="PPC Cased 3mm boards - square backed"),$L$1/2000*Data!D16+2.75*2-2,0))))))))</f>
        <v>20.440000000000001</v>
      </c>
      <c r="R16">
        <f>IF((Calcs!$E$12="PPC Cased 2mm boards - round backed"),$L$1/2000*Data!D16+3,IF((Calcs!$E$12="PPC Cased 2.25mm boards - round backed"),$L$1/2000*Data!D16+3,IF((Calcs!$E$12="PPC Cased 2.5mm boards - round backed"),$L$1/2000*Data!D16+3,IF((Calcs!$E$12="PPC Cased 3mm boards - round backed"),$L$1/2000*Data!D16+3,IF((Calcs!$E$12="PPC Cased 2mm boards - square backed"),$L$1/2000*Data!D16+1.9*2-2,IF((Calcs!$E$12="PPC Cased 2.25mm boards - square backed"),$L$1/2000*Data!D16+2.25*2-2,IF((Calcs!$E$12="PPC Cased 2.5mm boards - square backed"),$L$1/2000*Data!D16+2.5*2-2,IF((Calcs!$E$12="PPC Cased 3mm boards - square backed"),$L$1/2000*Data!D16+2.75*2-2,0))))))))</f>
        <v>20.440000000000001</v>
      </c>
    </row>
    <row r="17" spans="1:18" x14ac:dyDescent="0.35">
      <c r="A17" t="s">
        <v>103</v>
      </c>
      <c r="B17">
        <v>52</v>
      </c>
      <c r="C17">
        <v>120</v>
      </c>
      <c r="D17">
        <v>114</v>
      </c>
      <c r="E17">
        <v>0.9</v>
      </c>
      <c r="F17">
        <v>1</v>
      </c>
      <c r="G17">
        <v>1.1000000000000001</v>
      </c>
      <c r="H17">
        <v>1.2</v>
      </c>
      <c r="I17">
        <v>1.3</v>
      </c>
      <c r="M17">
        <f t="shared" ref="M17" si="16">IF(($L$1/2000*D17)&lt;=29.9,+E17,IF(($L$1/2000*D17)&lt;=39.9,+F17,IF(($L$1/2000*D17)&lt;=49.9,+G17,IF(($L$1/2000*D17)&gt;=50,+H17,0))))+$L$1/2000*D17</f>
        <v>19.14</v>
      </c>
      <c r="N17">
        <f>IF((Calcs!$E$12="jacket Cased 2mm boards"),$L$1/2000*Data!D17+1.9*2,IF((Calcs!$E$12="jacket Cased 2.25mm boards"),$L$1/2000*Data!D17+2.25*2,IF((Calcs!$E$12="jacket Cased 2.5mm boards"),$L$1/2000*Data!D17+2.5*2,IF((Calcs!$E$12="jacket Cased 3mm boards"),$L$1/2000*Data!D17+2.75*2,))))</f>
        <v>0</v>
      </c>
      <c r="O17">
        <f t="shared" ref="O17" si="17">$L$1/2000*D17+I17</f>
        <v>19.540000000000003</v>
      </c>
      <c r="P17">
        <f>IF((Calcs!$E$12="jacket Cased 2mm boards"),$L$1/2000*Data!D17+1.9*2,IF((Calcs!$E$12="jacket Cased 2.25mm boards"),$L$1/2000*Data!D17+2.25*2,IF((Calcs!$E$12="jacket Cased 2.5mm boards"),$L$1/2000*Data!D17+2.5*2,IF((Calcs!$E$12="jacket Cased 3mm boards"),$L$1/2000*Data!D17+2.75*2,))))</f>
        <v>0</v>
      </c>
      <c r="Q17">
        <f>IF((Calcs!$E$12="PPC Cased 2mm boards - round backed"),$L$1/2000*Data!D17+3,IF((Calcs!$E$12="PPC Cased 2.25mm boards - round backed"),$L$1/2000*Data!D17+3,IF((Calcs!$E$12="PPC Cased 2.5mm boards - round backed"),$L$1/2000*Data!D17+3,IF((Calcs!$E$12="PPC Cased 3mm boards - round backed"),$L$1/2000*Data!D17+3,IF((Calcs!$E$12="PPC Cased 2mm boards - square backed"),$L$1/2000*Data!D17+1.9*2-2,IF((Calcs!$E$12="PPC Cased 2.25mm boards - square backed"),$L$1/2000*Data!D17+2.25*2-2,IF((Calcs!$E$12="PPC Cased 2.5mm boards - square backed"),$L$1/2000*Data!D17+2.5*2-2,IF((Calcs!$E$12="PPC Cased 3mm boards - square backed"),$L$1/2000*Data!D17+2.75*2-2,0))))))))</f>
        <v>21.240000000000002</v>
      </c>
      <c r="R17">
        <f>IF((Calcs!$E$12="PPC Cased 2mm boards - round backed"),$L$1/2000*Data!D17+3,IF((Calcs!$E$12="PPC Cased 2.25mm boards - round backed"),$L$1/2000*Data!D17+3,IF((Calcs!$E$12="PPC Cased 2.5mm boards - round backed"),$L$1/2000*Data!D17+3,IF((Calcs!$E$12="PPC Cased 3mm boards - round backed"),$L$1/2000*Data!D17+3,IF((Calcs!$E$12="PPC Cased 2mm boards - square backed"),$L$1/2000*Data!D17+1.9*2-2,IF((Calcs!$E$12="PPC Cased 2.25mm boards - square backed"),$L$1/2000*Data!D17+2.25*2-2,IF((Calcs!$E$12="PPC Cased 2.5mm boards - square backed"),$L$1/2000*Data!D17+2.5*2-2,IF((Calcs!$E$12="PPC Cased 3mm boards - square backed"),$L$1/2000*Data!D17+2.75*2-2,0))))))))</f>
        <v>21.240000000000002</v>
      </c>
    </row>
    <row r="18" spans="1:18" x14ac:dyDescent="0.35">
      <c r="A18" t="s">
        <v>104</v>
      </c>
      <c r="B18">
        <v>55</v>
      </c>
      <c r="C18">
        <v>110</v>
      </c>
      <c r="D18">
        <v>106</v>
      </c>
      <c r="E18">
        <v>0.9</v>
      </c>
      <c r="F18">
        <v>1</v>
      </c>
      <c r="G18">
        <v>1.1000000000000001</v>
      </c>
      <c r="H18">
        <v>1.2</v>
      </c>
      <c r="I18">
        <v>1.3</v>
      </c>
      <c r="M18">
        <f t="shared" ref="M18" si="18">IF(($L$1/2000*D18)&lt;=29.9,+E18,IF(($L$1/2000*D18)&lt;=39.9,+F18,IF(($L$1/2000*D18)&lt;=49.9,+G18,IF(($L$1/2000*D18)&gt;=50,+H18,0))))+$L$1/2000*D18</f>
        <v>17.86</v>
      </c>
      <c r="N18">
        <f>IF((Calcs!$E$12="jacket Cased 2mm boards"),$L$1/2000*Data!D18+1.9*2,IF((Calcs!$E$12="jacket Cased 2.25mm boards"),$L$1/2000*Data!D18+2.25*2,IF((Calcs!$E$12="jacket Cased 2.5mm boards"),$L$1/2000*Data!D18+2.5*2,IF((Calcs!$E$12="jacket Cased 3mm boards"),$L$1/2000*Data!D18+2.75*2,))))</f>
        <v>0</v>
      </c>
      <c r="O18">
        <f t="shared" ref="O18" si="19">$L$1/2000*D18+I18</f>
        <v>18.260000000000002</v>
      </c>
      <c r="P18">
        <f>IF((Calcs!$E$12="jacket Cased 2mm boards"),$L$1/2000*Data!D18+1.9*2,IF((Calcs!$E$12="jacket Cased 2.25mm boards"),$L$1/2000*Data!D18+2.25*2,IF((Calcs!$E$12="jacket Cased 2.5mm boards"),$L$1/2000*Data!D18+2.5*2,IF((Calcs!$E$12="jacket Cased 3mm boards"),$L$1/2000*Data!D18+2.75*2,))))</f>
        <v>0</v>
      </c>
      <c r="Q18">
        <f>IF((Calcs!$E$12="PPC Cased 2mm boards - round backed"),$L$1/2000*Data!D18+3,IF((Calcs!$E$12="PPC Cased 2.25mm boards - round backed"),$L$1/2000*Data!D18+3,IF((Calcs!$E$12="PPC Cased 2.5mm boards - round backed"),$L$1/2000*Data!D18+3,IF((Calcs!$E$12="PPC Cased 3mm boards - round backed"),$L$1/2000*Data!D18+3,IF((Calcs!$E$12="PPC Cased 2mm boards - square backed"),$L$1/2000*Data!D18+1.9*2-2,IF((Calcs!$E$12="PPC Cased 2.25mm boards - square backed"),$L$1/2000*Data!D18+2.25*2-2,IF((Calcs!$E$12="PPC Cased 2.5mm boards - square backed"),$L$1/2000*Data!D18+2.5*2-2,IF((Calcs!$E$12="PPC Cased 3mm boards - square backed"),$L$1/2000*Data!D18+2.75*2-2,0))))))))</f>
        <v>19.96</v>
      </c>
      <c r="R18">
        <f>IF((Calcs!$E$12="PPC Cased 2mm boards - round backed"),$L$1/2000*Data!D18+3,IF((Calcs!$E$12="PPC Cased 2.25mm boards - round backed"),$L$1/2000*Data!D18+3,IF((Calcs!$E$12="PPC Cased 2.5mm boards - round backed"),$L$1/2000*Data!D18+3,IF((Calcs!$E$12="PPC Cased 3mm boards - round backed"),$L$1/2000*Data!D18+3,IF((Calcs!$E$12="PPC Cased 2mm boards - square backed"),$L$1/2000*Data!D18+1.9*2-2,IF((Calcs!$E$12="PPC Cased 2.25mm boards - square backed"),$L$1/2000*Data!D18+2.25*2-2,IF((Calcs!$E$12="PPC Cased 2.5mm boards - square backed"),$L$1/2000*Data!D18+2.5*2-2,IF((Calcs!$E$12="PPC Cased 3mm boards - square backed"),$L$1/2000*Data!D18+2.75*2-2,0))))))))</f>
        <v>19.96</v>
      </c>
    </row>
    <row r="19" spans="1:18" x14ac:dyDescent="0.35">
      <c r="A19" t="s">
        <v>115</v>
      </c>
      <c r="B19">
        <v>70</v>
      </c>
      <c r="C19">
        <v>112</v>
      </c>
      <c r="D19">
        <v>108</v>
      </c>
      <c r="E19">
        <v>0.9</v>
      </c>
      <c r="F19">
        <v>1</v>
      </c>
      <c r="G19">
        <v>1.1000000000000001</v>
      </c>
      <c r="H19">
        <v>1.2</v>
      </c>
      <c r="I19">
        <v>1.3</v>
      </c>
      <c r="M19">
        <f t="shared" ref="M19" si="20">IF(($L$1/2000*D19)&lt;=29.9,+E19,IF(($L$1/2000*D19)&lt;=39.9,+F19,IF(($L$1/2000*D19)&lt;=49.9,+G19,IF(($L$1/2000*D19)&gt;=50,+H19,0))))+$L$1/2000*D19</f>
        <v>18.18</v>
      </c>
      <c r="N19">
        <f>IF((Calcs!$E$12="jacket Cased 2mm boards"),$L$1/2000*Data!D19+1.9*2,IF((Calcs!$E$12="jacket Cased 2.25mm boards"),$L$1/2000*Data!D19+2.25*2,IF((Calcs!$E$12="jacket Cased 2.5mm boards"),$L$1/2000*Data!D19+2.5*2,IF((Calcs!$E$12="jacket Cased 3mm boards"),$L$1/2000*Data!D19+2.75*2,))))</f>
        <v>0</v>
      </c>
      <c r="O19">
        <f t="shared" ref="O19" si="21">$L$1/2000*D19+I19</f>
        <v>18.580000000000002</v>
      </c>
      <c r="P19">
        <f>IF((Calcs!$E$12="jacket Cased 2mm boards"),$L$1/2000*Data!D19+1.9*2,IF((Calcs!$E$12="jacket Cased 2.25mm boards"),$L$1/2000*Data!D19+2.25*2,IF((Calcs!$E$12="jacket Cased 2.5mm boards"),$L$1/2000*Data!D19+2.5*2,IF((Calcs!$E$12="jacket Cased 3mm boards"),$L$1/2000*Data!D19+2.75*2,))))</f>
        <v>0</v>
      </c>
      <c r="Q19">
        <f>IF((Calcs!$E$12="PPC Cased 2mm boards - round backed"),$L$1/2000*Data!D19+3,IF((Calcs!$E$12="PPC Cased 2.25mm boards - round backed"),$L$1/2000*Data!D19+3,IF((Calcs!$E$12="PPC Cased 2.5mm boards - round backed"),$L$1/2000*Data!D19+3,IF((Calcs!$E$12="PPC Cased 3mm boards - round backed"),$L$1/2000*Data!D19+3,IF((Calcs!$E$12="PPC Cased 2mm boards - square backed"),$L$1/2000*Data!D19+1.9*2-2,IF((Calcs!$E$12="PPC Cased 2.25mm boards - square backed"),$L$1/2000*Data!D19+2.25*2-2,IF((Calcs!$E$12="PPC Cased 2.5mm boards - square backed"),$L$1/2000*Data!D19+2.5*2-2,IF((Calcs!$E$12="PPC Cased 3mm boards - square backed"),$L$1/2000*Data!D19+2.75*2-2,0))))))))</f>
        <v>20.28</v>
      </c>
      <c r="R19">
        <f>IF((Calcs!$E$12="PPC Cased 2mm boards - round backed"),$L$1/2000*Data!D19+3,IF((Calcs!$E$12="PPC Cased 2.25mm boards - round backed"),$L$1/2000*Data!D19+3,IF((Calcs!$E$12="PPC Cased 2.5mm boards - round backed"),$L$1/2000*Data!D19+3,IF((Calcs!$E$12="PPC Cased 3mm boards - round backed"),$L$1/2000*Data!D19+3,IF((Calcs!$E$12="PPC Cased 2mm boards - square backed"),$L$1/2000*Data!D19+1.9*2-2,IF((Calcs!$E$12="PPC Cased 2.25mm boards - square backed"),$L$1/2000*Data!D19+2.25*2-2,IF((Calcs!$E$12="PPC Cased 2.5mm boards - square backed"),$L$1/2000*Data!D19+2.5*2-2,IF((Calcs!$E$12="PPC Cased 3mm boards - square backed"),$L$1/2000*Data!D19+2.75*2-2,0))))))))</f>
        <v>20.28</v>
      </c>
    </row>
    <row r="20" spans="1:18" x14ac:dyDescent="0.35">
      <c r="A20" t="s">
        <v>113</v>
      </c>
      <c r="B20">
        <v>60</v>
      </c>
      <c r="C20">
        <v>108</v>
      </c>
      <c r="D20">
        <v>104</v>
      </c>
      <c r="E20">
        <v>0.9</v>
      </c>
      <c r="F20">
        <v>1</v>
      </c>
      <c r="G20">
        <v>1.1000000000000001</v>
      </c>
      <c r="H20">
        <v>1.2</v>
      </c>
      <c r="I20">
        <v>1.3</v>
      </c>
      <c r="M20">
        <f t="shared" ref="M20" si="22">IF(($L$1/2000*D20)&lt;=29.9,+E20,IF(($L$1/2000*D20)&lt;=39.9,+F20,IF(($L$1/2000*D20)&lt;=49.9,+G20,IF(($L$1/2000*D20)&gt;=50,+H20,0))))+$L$1/2000*D20</f>
        <v>17.54</v>
      </c>
      <c r="N20">
        <f>IF((Calcs!$E$12="jacket Cased 2mm boards"),$L$1/2000*Data!D20+1.9*2,IF((Calcs!$E$12="jacket Cased 2.25mm boards"),$L$1/2000*Data!D20+2.25*2,IF((Calcs!$E$12="jacket Cased 2.5mm boards"),$L$1/2000*Data!D20+2.5*2,IF((Calcs!$E$12="jacket Cased 3mm boards"),$L$1/2000*Data!D20+2.75*2,))))</f>
        <v>0</v>
      </c>
      <c r="O20">
        <f t="shared" ref="O20" si="23">$L$1/2000*D20+I20</f>
        <v>17.940000000000001</v>
      </c>
      <c r="P20">
        <f>IF((Calcs!$E$12="jacket Cased 2mm boards"),$L$1/2000*Data!D20+1.9*2,IF((Calcs!$E$12="jacket Cased 2.25mm boards"),$L$1/2000*Data!D20+2.25*2,IF((Calcs!$E$12="jacket Cased 2.5mm boards"),$L$1/2000*Data!D20+2.5*2,IF((Calcs!$E$12="jacket Cased 3mm boards"),$L$1/2000*Data!D20+2.75*2,))))</f>
        <v>0</v>
      </c>
      <c r="Q20">
        <f>IF((Calcs!$E$12="PPC Cased 2mm boards - round backed"),$L$1/2000*Data!D20+3,IF((Calcs!$E$12="PPC Cased 2.25mm boards - round backed"),$L$1/2000*Data!D20+3,IF((Calcs!$E$12="PPC Cased 2.5mm boards - round backed"),$L$1/2000*Data!D20+3,IF((Calcs!$E$12="PPC Cased 3mm boards - round backed"),$L$1/2000*Data!D20+3,IF((Calcs!$E$12="PPC Cased 2mm boards - square backed"),$L$1/2000*Data!D20+1.9*2-2,IF((Calcs!$E$12="PPC Cased 2.25mm boards - square backed"),$L$1/2000*Data!D20+2.25*2-2,IF((Calcs!$E$12="PPC Cased 2.5mm boards - square backed"),$L$1/2000*Data!D20+2.5*2-2,IF((Calcs!$E$12="PPC Cased 3mm boards - square backed"),$L$1/2000*Data!D20+2.75*2-2,0))))))))</f>
        <v>19.64</v>
      </c>
      <c r="R20">
        <f>IF((Calcs!$E$12="PPC Cased 2mm boards - round backed"),$L$1/2000*Data!D20+3,IF((Calcs!$E$12="PPC Cased 2.25mm boards - round backed"),$L$1/2000*Data!D20+3,IF((Calcs!$E$12="PPC Cased 2.5mm boards - round backed"),$L$1/2000*Data!D20+3,IF((Calcs!$E$12="PPC Cased 3mm boards - round backed"),$L$1/2000*Data!D20+3,IF((Calcs!$E$12="PPC Cased 2mm boards - square backed"),$L$1/2000*Data!D20+1.9*2-2,IF((Calcs!$E$12="PPC Cased 2.25mm boards - square backed"),$L$1/2000*Data!D20+2.25*2-2,IF((Calcs!$E$12="PPC Cased 2.5mm boards - square backed"),$L$1/2000*Data!D20+2.5*2-2,IF((Calcs!$E$12="PPC Cased 3mm boards - square backed"),$L$1/2000*Data!D20+2.75*2-2,0))))))))</f>
        <v>19.64</v>
      </c>
    </row>
    <row r="21" spans="1:18" x14ac:dyDescent="0.35">
      <c r="A21" t="s">
        <v>45</v>
      </c>
      <c r="B21">
        <v>60</v>
      </c>
      <c r="C21">
        <v>120</v>
      </c>
      <c r="D21">
        <v>116</v>
      </c>
      <c r="E21">
        <v>0.9</v>
      </c>
      <c r="F21">
        <v>1</v>
      </c>
      <c r="G21">
        <v>1.1000000000000001</v>
      </c>
      <c r="H21">
        <v>1.2</v>
      </c>
      <c r="I21">
        <v>1.3</v>
      </c>
      <c r="M21">
        <f t="shared" si="2"/>
        <v>19.459999999999997</v>
      </c>
      <c r="N21">
        <f>IF((Calcs!$E$12="jacket Cased 2mm boards"),$L$1/2000*Data!D21+1.9*2,IF((Calcs!$E$12="jacket Cased 2.25mm boards"),$L$1/2000*Data!D21+2.25*2,IF((Calcs!$E$12="jacket Cased 2.5mm boards"),$L$1/2000*Data!D21+2.5*2,IF((Calcs!$E$12="jacket Cased 3mm boards"),$L$1/2000*Data!D21+2.75*2,))))</f>
        <v>0</v>
      </c>
      <c r="O21">
        <f t="shared" si="3"/>
        <v>19.86</v>
      </c>
      <c r="P21">
        <f>IF((Calcs!$E$12="jacket Cased 2mm boards"),$L$1/2000*Data!D21+1.9*2,IF((Calcs!$E$12="jacket Cased 2.25mm boards"),$L$1/2000*Data!D21+2.25*2,IF((Calcs!$E$12="jacket Cased 2.5mm boards"),$L$1/2000*Data!D21+2.5*2,IF((Calcs!$E$12="jacket Cased 3mm boards"),$L$1/2000*Data!D21+2.75*2,))))</f>
        <v>0</v>
      </c>
      <c r="Q21">
        <f>IF((Calcs!$E$12="PPC Cased 2mm boards - round backed"),$L$1/2000*Data!D21+3,IF((Calcs!$E$12="PPC Cased 2.25mm boards - round backed"),$L$1/2000*Data!D21+3,IF((Calcs!$E$12="PPC Cased 2.5mm boards - round backed"),$L$1/2000*Data!D21+3,IF((Calcs!$E$12="PPC Cased 3mm boards - round backed"),$L$1/2000*Data!D21+3,IF((Calcs!$E$12="PPC Cased 2mm boards - square backed"),$L$1/2000*Data!D21+1.9*2-2,IF((Calcs!$E$12="PPC Cased 2.25mm boards - square backed"),$L$1/2000*Data!D21+2.25*2-2,IF((Calcs!$E$12="PPC Cased 2.5mm boards - square backed"),$L$1/2000*Data!D21+2.5*2-2,IF((Calcs!$E$12="PPC Cased 3mm boards - square backed"),$L$1/2000*Data!D21+2.75*2-2,0))))))))</f>
        <v>21.56</v>
      </c>
      <c r="R21">
        <f>IF((Calcs!$E$12="PPC Cased 2mm boards - round backed"),$L$1/2000*Data!D21+3,IF((Calcs!$E$12="PPC Cased 2.25mm boards - round backed"),$L$1/2000*Data!D21+3,IF((Calcs!$E$12="PPC Cased 2.5mm boards - round backed"),$L$1/2000*Data!D21+3,IF((Calcs!$E$12="PPC Cased 3mm boards - round backed"),$L$1/2000*Data!D21+3,IF((Calcs!$E$12="PPC Cased 2mm boards - square backed"),$L$1/2000*Data!D21+1.9*2-2,IF((Calcs!$E$12="PPC Cased 2.25mm boards - square backed"),$L$1/2000*Data!D21+2.25*2-2,IF((Calcs!$E$12="PPC Cased 2.5mm boards - square backed"),$L$1/2000*Data!D21+2.5*2-2,IF((Calcs!$E$12="PPC Cased 3mm boards - square backed"),$L$1/2000*Data!D21+2.75*2-2,0))))))))</f>
        <v>21.56</v>
      </c>
    </row>
    <row r="22" spans="1:18" x14ac:dyDescent="0.35">
      <c r="A22" t="s">
        <v>102</v>
      </c>
      <c r="B22">
        <v>65</v>
      </c>
      <c r="C22">
        <v>143</v>
      </c>
      <c r="D22">
        <v>138</v>
      </c>
      <c r="E22">
        <v>0.9</v>
      </c>
      <c r="F22">
        <v>1</v>
      </c>
      <c r="G22">
        <v>1.1000000000000001</v>
      </c>
      <c r="H22">
        <v>1.2</v>
      </c>
      <c r="I22">
        <v>1.3</v>
      </c>
      <c r="M22">
        <f t="shared" ref="M22" si="24">IF(($L$1/2000*D22)&lt;=29.9,+E22,IF(($L$1/2000*D22)&lt;=39.9,+F22,IF(($L$1/2000*D22)&lt;=49.9,+G22,IF(($L$1/2000*D22)&gt;=50,+H22,0))))+$L$1/2000*D22</f>
        <v>22.98</v>
      </c>
      <c r="N22">
        <f>IF((Calcs!$E$12="jacket Cased 2mm boards"),$L$1/2000*Data!D22+1.9*2,IF((Calcs!$E$12="jacket Cased 2.25mm boards"),$L$1/2000*Data!D22+2.25*2,IF((Calcs!$E$12="jacket Cased 2.5mm boards"),$L$1/2000*Data!D22+2.5*2,IF((Calcs!$E$12="jacket Cased 3mm boards"),$L$1/2000*Data!D22+2.75*2,))))</f>
        <v>0</v>
      </c>
      <c r="O22">
        <f t="shared" ref="O22" si="25">$L$1/2000*D22+I22</f>
        <v>23.380000000000003</v>
      </c>
      <c r="P22">
        <f>IF((Calcs!$E$12="jacket Cased 2mm boards"),$L$1/2000*Data!D22+1.9*2,IF((Calcs!$E$12="jacket Cased 2.25mm boards"),$L$1/2000*Data!D22+2.25*2,IF((Calcs!$E$12="jacket Cased 2.5mm boards"),$L$1/2000*Data!D22+2.5*2,IF((Calcs!$E$12="jacket Cased 3mm boards"),$L$1/2000*Data!D22+2.75*2,))))</f>
        <v>0</v>
      </c>
      <c r="Q22">
        <f>IF((Calcs!$E$12="PPC Cased 2mm boards - round backed"),$L$1/2000*Data!D22+3,IF((Calcs!$E$12="PPC Cased 2.25mm boards - round backed"),$L$1/2000*Data!D22+3,IF((Calcs!$E$12="PPC Cased 2.5mm boards - round backed"),$L$1/2000*Data!D22+3,IF((Calcs!$E$12="PPC Cased 3mm boards - round backed"),$L$1/2000*Data!D22+3,IF((Calcs!$E$12="PPC Cased 2mm boards - square backed"),$L$1/2000*Data!D22+1.9*2-2,IF((Calcs!$E$12="PPC Cased 2.25mm boards - square backed"),$L$1/2000*Data!D22+2.25*2-2,IF((Calcs!$E$12="PPC Cased 2.5mm boards - square backed"),$L$1/2000*Data!D22+2.5*2-2,IF((Calcs!$E$12="PPC Cased 3mm boards - square backed"),$L$1/2000*Data!D22+2.75*2-2,0))))))))</f>
        <v>25.080000000000002</v>
      </c>
      <c r="R22">
        <f>IF((Calcs!$E$12="PPC Cased 2mm boards - round backed"),$L$1/2000*Data!D22+3,IF((Calcs!$E$12="PPC Cased 2.25mm boards - round backed"),$L$1/2000*Data!D22+3,IF((Calcs!$E$12="PPC Cased 2.5mm boards - round backed"),$L$1/2000*Data!D22+3,IF((Calcs!$E$12="PPC Cased 3mm boards - round backed"),$L$1/2000*Data!D22+3,IF((Calcs!$E$12="PPC Cased 2mm boards - square backed"),$L$1/2000*Data!D22+1.9*2-2,IF((Calcs!$E$12="PPC Cased 2.25mm boards - square backed"),$L$1/2000*Data!D22+2.25*2-2,IF((Calcs!$E$12="PPC Cased 2.5mm boards - square backed"),$L$1/2000*Data!D22+2.5*2-2,IF((Calcs!$E$12="PPC Cased 3mm boards - square backed"),$L$1/2000*Data!D22+2.75*2-2,0))))))))</f>
        <v>25.080000000000002</v>
      </c>
    </row>
    <row r="23" spans="1:18" x14ac:dyDescent="0.35">
      <c r="A23" t="s">
        <v>46</v>
      </c>
      <c r="B23">
        <v>70</v>
      </c>
      <c r="C23">
        <v>140</v>
      </c>
      <c r="D23">
        <v>136</v>
      </c>
      <c r="E23">
        <v>0.9</v>
      </c>
      <c r="F23">
        <v>1</v>
      </c>
      <c r="G23">
        <v>1.1000000000000001</v>
      </c>
      <c r="H23">
        <v>1.2</v>
      </c>
      <c r="I23">
        <v>1.3</v>
      </c>
      <c r="M23">
        <f t="shared" si="2"/>
        <v>22.66</v>
      </c>
      <c r="N23">
        <f>IF((Calcs!$E$12="jacket Cased 2mm boards"),$L$1/2000*Data!D23+1.9*2,IF((Calcs!$E$12="jacket Cased 2.25mm boards"),$L$1/2000*Data!D23+2.25*2,IF((Calcs!$E$12="jacket Cased 2.5mm boards"),$L$1/2000*Data!D23+2.5*2,IF((Calcs!$E$12="jacket Cased 3mm boards"),$L$1/2000*Data!D23+2.75*2,))))</f>
        <v>0</v>
      </c>
      <c r="O23">
        <f t="shared" si="3"/>
        <v>23.060000000000002</v>
      </c>
      <c r="P23">
        <f>IF((Calcs!$E$12="jacket Cased 2mm boards"),$L$1/2000*Data!D23+1.9*2,IF((Calcs!$E$12="jacket Cased 2.25mm boards"),$L$1/2000*Data!D23+2.25*2,IF((Calcs!$E$12="jacket Cased 2.5mm boards"),$L$1/2000*Data!D23+2.5*2,IF((Calcs!$E$12="jacket Cased 3mm boards"),$L$1/2000*Data!D23+2.75*2,))))</f>
        <v>0</v>
      </c>
      <c r="Q23">
        <f>IF((Calcs!$E$12="PPC Cased 2mm boards - round backed"),$L$1/2000*Data!D23+3,IF((Calcs!$E$12="PPC Cased 2.25mm boards - round backed"),$L$1/2000*Data!D23+3,IF((Calcs!$E$12="PPC Cased 2.5mm boards - round backed"),$L$1/2000*Data!D23+3,IF((Calcs!$E$12="PPC Cased 3mm boards - round backed"),$L$1/2000*Data!D23+3,IF((Calcs!$E$12="PPC Cased 2mm boards - square backed"),$L$1/2000*Data!D23+1.9*2-2,IF((Calcs!$E$12="PPC Cased 2.25mm boards - square backed"),$L$1/2000*Data!D23+2.25*2-2,IF((Calcs!$E$12="PPC Cased 2.5mm boards - square backed"),$L$1/2000*Data!D23+2.5*2-2,IF((Calcs!$E$12="PPC Cased 3mm boards - square backed"),$L$1/2000*Data!D23+2.75*2-2,0))))))))</f>
        <v>24.76</v>
      </c>
      <c r="R23">
        <f>IF((Calcs!$E$12="PPC Cased 2mm boards - round backed"),$L$1/2000*Data!D23+3,IF((Calcs!$E$12="PPC Cased 2.25mm boards - round backed"),$L$1/2000*Data!D23+3,IF((Calcs!$E$12="PPC Cased 2.5mm boards - round backed"),$L$1/2000*Data!D23+3,IF((Calcs!$E$12="PPC Cased 3mm boards - round backed"),$L$1/2000*Data!D23+3,IF((Calcs!$E$12="PPC Cased 2mm boards - square backed"),$L$1/2000*Data!D23+1.9*2-2,IF((Calcs!$E$12="PPC Cased 2.25mm boards - square backed"),$L$1/2000*Data!D23+2.25*2-2,IF((Calcs!$E$12="PPC Cased 2.5mm boards - square backed"),$L$1/2000*Data!D23+2.5*2-2,IF((Calcs!$E$12="PPC Cased 3mm boards - square backed"),$L$1/2000*Data!D23+2.75*2-2,0))))))))</f>
        <v>24.76</v>
      </c>
    </row>
    <row r="24" spans="1:18" x14ac:dyDescent="0.35">
      <c r="A24" t="s">
        <v>47</v>
      </c>
      <c r="B24">
        <v>70</v>
      </c>
      <c r="C24">
        <v>140</v>
      </c>
      <c r="D24">
        <v>136</v>
      </c>
      <c r="E24">
        <v>0.9</v>
      </c>
      <c r="F24">
        <v>1</v>
      </c>
      <c r="G24">
        <v>1.1000000000000001</v>
      </c>
      <c r="H24">
        <v>1.2</v>
      </c>
      <c r="I24">
        <v>1.3</v>
      </c>
      <c r="M24">
        <f t="shared" si="2"/>
        <v>22.66</v>
      </c>
      <c r="N24">
        <f>IF((Calcs!$E$12="jacket Cased 2mm boards"),$L$1/2000*Data!D24+1.9*2,IF((Calcs!$E$12="jacket Cased 2.25mm boards"),$L$1/2000*Data!D24+2.25*2,IF((Calcs!$E$12="jacket Cased 2.5mm boards"),$L$1/2000*Data!D24+2.5*2,IF((Calcs!$E$12="jacket Cased 3mm boards"),$L$1/2000*Data!D24+2.75*2,))))</f>
        <v>0</v>
      </c>
      <c r="O24">
        <f t="shared" si="3"/>
        <v>23.060000000000002</v>
      </c>
      <c r="P24">
        <f>IF((Calcs!$E$12="jacket Cased 2mm boards"),$L$1/2000*Data!D24+1.9*2,IF((Calcs!$E$12="jacket Cased 2.25mm boards"),$L$1/2000*Data!D24+2.25*2,IF((Calcs!$E$12="jacket Cased 2.5mm boards"),$L$1/2000*Data!D24+2.5*2,IF((Calcs!$E$12="jacket Cased 3mm boards"),$L$1/2000*Data!D24+2.75*2,))))</f>
        <v>0</v>
      </c>
      <c r="Q24">
        <f>IF((Calcs!$E$12="PPC Cased 2mm boards - round backed"),$L$1/2000*Data!D24+3,IF((Calcs!$E$12="PPC Cased 2.25mm boards - round backed"),$L$1/2000*Data!D24+3,IF((Calcs!$E$12="PPC Cased 2.5mm boards - round backed"),$L$1/2000*Data!D24+3,IF((Calcs!$E$12="PPC Cased 3mm boards - round backed"),$L$1/2000*Data!D24+3,IF((Calcs!$E$12="PPC Cased 2mm boards - square backed"),$L$1/2000*Data!D24+1.9*2-2,IF((Calcs!$E$12="PPC Cased 2.25mm boards - square backed"),$L$1/2000*Data!D24+2.25*2-2,IF((Calcs!$E$12="PPC Cased 2.5mm boards - square backed"),$L$1/2000*Data!D24+2.5*2-2,IF((Calcs!$E$12="PPC Cased 3mm boards - square backed"),$L$1/2000*Data!D24+2.75*2-2,0))))))))</f>
        <v>24.76</v>
      </c>
      <c r="R24">
        <f>IF((Calcs!$E$12="PPC Cased 2mm boards - round backed"),$L$1/2000*Data!D24+3,IF((Calcs!$E$12="PPC Cased 2.25mm boards - round backed"),$L$1/2000*Data!D24+3,IF((Calcs!$E$12="PPC Cased 2.5mm boards - round backed"),$L$1/2000*Data!D24+3,IF((Calcs!$E$12="PPC Cased 3mm boards - round backed"),$L$1/2000*Data!D24+3,IF((Calcs!$E$12="PPC Cased 2mm boards - square backed"),$L$1/2000*Data!D24+1.9*2-2,IF((Calcs!$E$12="PPC Cased 2.25mm boards - square backed"),$L$1/2000*Data!D24+2.25*2-2,IF((Calcs!$E$12="PPC Cased 2.5mm boards - square backed"),$L$1/2000*Data!D24+2.5*2-2,IF((Calcs!$E$12="PPC Cased 3mm boards - square backed"),$L$1/2000*Data!D24+2.75*2-2,0))))))))</f>
        <v>24.76</v>
      </c>
    </row>
    <row r="25" spans="1:18" x14ac:dyDescent="0.35">
      <c r="A25" t="s">
        <v>48</v>
      </c>
      <c r="B25">
        <v>80</v>
      </c>
      <c r="C25">
        <v>140</v>
      </c>
      <c r="D25">
        <v>138</v>
      </c>
      <c r="E25">
        <v>0.9</v>
      </c>
      <c r="F25">
        <v>1</v>
      </c>
      <c r="G25">
        <v>1.1000000000000001</v>
      </c>
      <c r="H25">
        <v>1.2</v>
      </c>
      <c r="I25">
        <v>1.3</v>
      </c>
      <c r="M25">
        <f t="shared" si="2"/>
        <v>22.98</v>
      </c>
      <c r="N25">
        <f>IF((Calcs!$E$12="jacket Cased 2mm boards"),$L$1/2000*Data!D25+1.9*2,IF((Calcs!$E$12="jacket Cased 2.25mm boards"),$L$1/2000*Data!D25+2.25*2,IF((Calcs!$E$12="jacket Cased 2.5mm boards"),$L$1/2000*Data!D25+2.5*2,IF((Calcs!$E$12="jacket Cased 3mm boards"),$L$1/2000*Data!D25+2.75*2,))))</f>
        <v>0</v>
      </c>
      <c r="O25">
        <f t="shared" si="3"/>
        <v>23.380000000000003</v>
      </c>
      <c r="P25">
        <f>IF((Calcs!$E$12="jacket Cased 2mm boards"),$L$1/2000*Data!D25+1.9*2,IF((Calcs!$E$12="jacket Cased 2.25mm boards"),$L$1/2000*Data!D25+2.25*2,IF((Calcs!$E$12="jacket Cased 2.5mm boards"),$L$1/2000*Data!D25+2.5*2,IF((Calcs!$E$12="jacket Cased 3mm boards"),$L$1/2000*Data!D25+2.75*2,))))</f>
        <v>0</v>
      </c>
      <c r="Q25">
        <f>IF((Calcs!$E$12="PPC Cased 2mm boards - round backed"),$L$1/2000*Data!D25+3,IF((Calcs!$E$12="PPC Cased 2.25mm boards - round backed"),$L$1/2000*Data!D25+3,IF((Calcs!$E$12="PPC Cased 2.5mm boards - round backed"),$L$1/2000*Data!D25+3,IF((Calcs!$E$12="PPC Cased 3mm boards - round backed"),$L$1/2000*Data!D25+3,IF((Calcs!$E$12="PPC Cased 2mm boards - square backed"),$L$1/2000*Data!D25+1.9*2-2,IF((Calcs!$E$12="PPC Cased 2.25mm boards - square backed"),$L$1/2000*Data!D25+2.25*2-2,IF((Calcs!$E$12="PPC Cased 2.5mm boards - square backed"),$L$1/2000*Data!D25+2.5*2-2,IF((Calcs!$E$12="PPC Cased 3mm boards - square backed"),$L$1/2000*Data!D25+2.75*2-2,0))))))))</f>
        <v>25.080000000000002</v>
      </c>
      <c r="R25">
        <f>IF((Calcs!$E$12="PPC Cased 2mm boards - round backed"),$L$1/2000*Data!D25+3,IF((Calcs!$E$12="PPC Cased 2.25mm boards - round backed"),$L$1/2000*Data!D25+3,IF((Calcs!$E$12="PPC Cased 2.5mm boards - round backed"),$L$1/2000*Data!D25+3,IF((Calcs!$E$12="PPC Cased 3mm boards - round backed"),$L$1/2000*Data!D25+3,IF((Calcs!$E$12="PPC Cased 2mm boards - square backed"),$L$1/2000*Data!D25+1.9*2-2,IF((Calcs!$E$12="PPC Cased 2.25mm boards - square backed"),$L$1/2000*Data!D25+2.25*2-2,IF((Calcs!$E$12="PPC Cased 2.5mm boards - square backed"),$L$1/2000*Data!D25+2.5*2-2,IF((Calcs!$E$12="PPC Cased 3mm boards - square backed"),$L$1/2000*Data!D25+2.75*2-2,0))))))))</f>
        <v>25.080000000000002</v>
      </c>
    </row>
    <row r="26" spans="1:18" x14ac:dyDescent="0.35">
      <c r="A26" t="s">
        <v>49</v>
      </c>
      <c r="B26">
        <v>80</v>
      </c>
      <c r="C26">
        <v>144</v>
      </c>
      <c r="D26">
        <v>142</v>
      </c>
      <c r="E26">
        <v>0.9</v>
      </c>
      <c r="F26">
        <v>1</v>
      </c>
      <c r="G26">
        <v>1.1000000000000001</v>
      </c>
      <c r="H26">
        <v>1.2</v>
      </c>
      <c r="I26">
        <v>1.3</v>
      </c>
      <c r="M26">
        <f t="shared" si="2"/>
        <v>23.619999999999997</v>
      </c>
      <c r="N26">
        <f>IF((Calcs!$E$12="jacket Cased 2mm boards"),$L$1/2000*Data!D26+1.9*2,IF((Calcs!$E$12="jacket Cased 2.25mm boards"),$L$1/2000*Data!D26+2.25*2,IF((Calcs!$E$12="jacket Cased 2.5mm boards"),$L$1/2000*Data!D26+2.5*2,IF((Calcs!$E$12="jacket Cased 3mm boards"),$L$1/2000*Data!D26+2.75*2,))))</f>
        <v>0</v>
      </c>
      <c r="O26">
        <f t="shared" si="3"/>
        <v>24.02</v>
      </c>
      <c r="P26">
        <f>IF((Calcs!$E$12="jacket Cased 2mm boards"),$L$1/2000*Data!D26+1.9*2,IF((Calcs!$E$12="jacket Cased 2.25mm boards"),$L$1/2000*Data!D26+2.25*2,IF((Calcs!$E$12="jacket Cased 2.5mm boards"),$L$1/2000*Data!D26+2.5*2,IF((Calcs!$E$12="jacket Cased 3mm boards"),$L$1/2000*Data!D26+2.75*2,))))</f>
        <v>0</v>
      </c>
      <c r="Q26">
        <f>IF((Calcs!$E$12="PPC Cased 2mm boards - round backed"),$L$1/2000*Data!D26+3,IF((Calcs!$E$12="PPC Cased 2.25mm boards - round backed"),$L$1/2000*Data!D26+3,IF((Calcs!$E$12="PPC Cased 2.5mm boards - round backed"),$L$1/2000*Data!D26+3,IF((Calcs!$E$12="PPC Cased 3mm boards - round backed"),$L$1/2000*Data!D26+3,IF((Calcs!$E$12="PPC Cased 2mm boards - square backed"),$L$1/2000*Data!D26+1.9*2-2,IF((Calcs!$E$12="PPC Cased 2.25mm boards - square backed"),$L$1/2000*Data!D26+2.25*2-2,IF((Calcs!$E$12="PPC Cased 2.5mm boards - square backed"),$L$1/2000*Data!D26+2.5*2-2,IF((Calcs!$E$12="PPC Cased 3mm boards - square backed"),$L$1/2000*Data!D26+2.75*2-2,0))))))))</f>
        <v>25.72</v>
      </c>
      <c r="R26">
        <f>IF((Calcs!$E$12="PPC Cased 2mm boards - round backed"),$L$1/2000*Data!D26+3,IF((Calcs!$E$12="PPC Cased 2.25mm boards - round backed"),$L$1/2000*Data!D26+3,IF((Calcs!$E$12="PPC Cased 2.5mm boards - round backed"),$L$1/2000*Data!D26+3,IF((Calcs!$E$12="PPC Cased 3mm boards - round backed"),$L$1/2000*Data!D26+3,IF((Calcs!$E$12="PPC Cased 2mm boards - square backed"),$L$1/2000*Data!D26+1.9*2-2,IF((Calcs!$E$12="PPC Cased 2.25mm boards - square backed"),$L$1/2000*Data!D26+2.25*2-2,IF((Calcs!$E$12="PPC Cased 2.5mm boards - square backed"),$L$1/2000*Data!D26+2.5*2-2,IF((Calcs!$E$12="PPC Cased 3mm boards - square backed"),$L$1/2000*Data!D26+2.75*2-2,0))))))))</f>
        <v>25.72</v>
      </c>
    </row>
    <row r="27" spans="1:18" x14ac:dyDescent="0.35">
      <c r="A27" t="s">
        <v>101</v>
      </c>
      <c r="B27">
        <v>90</v>
      </c>
      <c r="C27">
        <v>176</v>
      </c>
      <c r="D27">
        <f>ROUND(C27-(C27*(2/144)),0)</f>
        <v>174</v>
      </c>
      <c r="E27">
        <v>0.9</v>
      </c>
      <c r="F27">
        <v>1</v>
      </c>
      <c r="G27">
        <v>1.1000000000000001</v>
      </c>
      <c r="H27">
        <v>1.2</v>
      </c>
      <c r="I27">
        <v>1.3</v>
      </c>
      <c r="M27">
        <f t="shared" ref="M27" si="26">IF(($L$1/2000*D27)&lt;=29.9,+E27,IF(($L$1/2000*D27)&lt;=39.9,+F27,IF(($L$1/2000*D27)&lt;=49.9,+G27,IF(($L$1/2000*D27)&gt;=50,+H27,0))))+$L$1/2000*D27</f>
        <v>28.74</v>
      </c>
      <c r="N27">
        <f>IF((Calcs!$E$12="jacket Cased 2mm boards"),$L$1/2000*Data!D27+1.9*2,IF((Calcs!$E$12="jacket Cased 2.25mm boards"),$L$1/2000*Data!D27+2.25*2,IF((Calcs!$E$12="jacket Cased 2.5mm boards"),$L$1/2000*Data!D27+2.5*2,IF((Calcs!$E$12="jacket Cased 3mm boards"),$L$1/2000*Data!D27+2.75*2,))))</f>
        <v>0</v>
      </c>
      <c r="O27">
        <f t="shared" ref="O27" si="27">$L$1/2000*D27+I27</f>
        <v>29.14</v>
      </c>
      <c r="P27">
        <f>IF((Calcs!$E$12="jacket Cased 2mm boards"),$L$1/2000*Data!D27+1.9*2,IF((Calcs!$E$12="jacket Cased 2.25mm boards"),$L$1/2000*Data!D27+2.25*2,IF((Calcs!$E$12="jacket Cased 2.5mm boards"),$L$1/2000*Data!D27+2.5*2,IF((Calcs!$E$12="jacket Cased 3mm boards"),$L$1/2000*Data!D27+2.75*2,))))</f>
        <v>0</v>
      </c>
      <c r="Q27">
        <f>IF((Calcs!$E$12="PPC Cased 2mm boards - round backed"),$L$1/2000*Data!D27+3,IF((Calcs!$E$12="PPC Cased 2.25mm boards - round backed"),$L$1/2000*Data!D27+3,IF((Calcs!$E$12="PPC Cased 2.5mm boards - round backed"),$L$1/2000*Data!D27+3,IF((Calcs!$E$12="PPC Cased 3mm boards - round backed"),$L$1/2000*Data!D27+3,IF((Calcs!$E$12="PPC Cased 2mm boards - square backed"),$L$1/2000*Data!D27+1.9*2-2,IF((Calcs!$E$12="PPC Cased 2.25mm boards - square backed"),$L$1/2000*Data!D27+2.25*2-2,IF((Calcs!$E$12="PPC Cased 2.5mm boards - square backed"),$L$1/2000*Data!D27+2.5*2-2,IF((Calcs!$E$12="PPC Cased 3mm boards - square backed"),$L$1/2000*Data!D27+2.75*2-2,0))))))))</f>
        <v>30.84</v>
      </c>
      <c r="R27">
        <f>IF((Calcs!$E$12="PPC Cased 2mm boards - round backed"),$L$1/2000*Data!D27+3,IF((Calcs!$E$12="PPC Cased 2.25mm boards - round backed"),$L$1/2000*Data!D27+3,IF((Calcs!$E$12="PPC Cased 2.5mm boards - round backed"),$L$1/2000*Data!D27+3,IF((Calcs!$E$12="PPC Cased 3mm boards - round backed"),$L$1/2000*Data!D27+3,IF((Calcs!$E$12="PPC Cased 2mm boards - square backed"),$L$1/2000*Data!D27+1.9*2-2,IF((Calcs!$E$12="PPC Cased 2.25mm boards - square backed"),$L$1/2000*Data!D27+2.25*2-2,IF((Calcs!$E$12="PPC Cased 2.5mm boards - square backed"),$L$1/2000*Data!D27+2.5*2-2,IF((Calcs!$E$12="PPC Cased 3mm boards - square backed"),$L$1/2000*Data!D27+2.75*2-2,0))))))))</f>
        <v>30.84</v>
      </c>
    </row>
    <row r="28" spans="1:18" x14ac:dyDescent="0.35">
      <c r="A28" t="s">
        <v>50</v>
      </c>
      <c r="B28">
        <v>80</v>
      </c>
      <c r="C28">
        <v>100</v>
      </c>
      <c r="D28">
        <v>100</v>
      </c>
      <c r="E28">
        <v>0.9</v>
      </c>
      <c r="F28">
        <v>1</v>
      </c>
      <c r="G28">
        <v>1.1000000000000001</v>
      </c>
      <c r="H28">
        <v>1.2</v>
      </c>
      <c r="I28">
        <v>1.3</v>
      </c>
      <c r="M28">
        <f t="shared" si="2"/>
        <v>16.899999999999999</v>
      </c>
      <c r="N28">
        <f>IF((Calcs!$E$12="jacket Cased 2mm boards"),$L$1/2000*Data!D28+1.9*2,IF((Calcs!$E$12="jacket Cased 2.25mm boards"),$L$1/2000*Data!D28+2.25*2,IF((Calcs!$E$12="jacket Cased 2.5mm boards"),$L$1/2000*Data!D28+2.5*2,IF((Calcs!$E$12="jacket Cased 3mm boards"),$L$1/2000*Data!D28+2.75*2,))))</f>
        <v>0</v>
      </c>
      <c r="O28">
        <f t="shared" si="3"/>
        <v>17.3</v>
      </c>
      <c r="P28">
        <f>IF((Calcs!$E$12="jacket Cased 2mm boards"),$L$1/2000*Data!D28+1.9*2,IF((Calcs!$E$12="jacket Cased 2.25mm boards"),$L$1/2000*Data!D28+2.25*2,IF((Calcs!$E$12="jacket Cased 2.5mm boards"),$L$1/2000*Data!D28+2.5*2,IF((Calcs!$E$12="jacket Cased 3mm boards"),$L$1/2000*Data!D28+2.75*2,))))</f>
        <v>0</v>
      </c>
      <c r="Q28">
        <f>IF((Calcs!$E$12="PPC Cased 2mm boards - round backed"),$L$1/2000*Data!D28+3,IF((Calcs!$E$12="PPC Cased 2.25mm boards - round backed"),$L$1/2000*Data!D28+3,IF((Calcs!$E$12="PPC Cased 2.5mm boards - round backed"),$L$1/2000*Data!D28+3,IF((Calcs!$E$12="PPC Cased 3mm boards - round backed"),$L$1/2000*Data!D28+3,IF((Calcs!$E$12="PPC Cased 2mm boards - square backed"),$L$1/2000*Data!D28+1.9*2-2,IF((Calcs!$E$12="PPC Cased 2.25mm boards - square backed"),$L$1/2000*Data!D28+2.25*2-2,IF((Calcs!$E$12="PPC Cased 2.5mm boards - square backed"),$L$1/2000*Data!D28+2.5*2-2,IF((Calcs!$E$12="PPC Cased 3mm boards - square backed"),$L$1/2000*Data!D28+2.75*2-2,0))))))))</f>
        <v>19</v>
      </c>
      <c r="R28">
        <f>IF((Calcs!$E$12="PPC Cased 2mm boards - round backed"),$L$1/2000*Data!D28+3,IF((Calcs!$E$12="PPC Cased 2.25mm boards - round backed"),$L$1/2000*Data!D28+3,IF((Calcs!$E$12="PPC Cased 2.5mm boards - round backed"),$L$1/2000*Data!D28+3,IF((Calcs!$E$12="PPC Cased 3mm boards - round backed"),$L$1/2000*Data!D28+3,IF((Calcs!$E$12="PPC Cased 2mm boards - square backed"),$L$1/2000*Data!D28+1.9*2-2,IF((Calcs!$E$12="PPC Cased 2.25mm boards - square backed"),$L$1/2000*Data!D28+2.25*2-2,IF((Calcs!$E$12="PPC Cased 2.5mm boards - square backed"),$L$1/2000*Data!D28+2.5*2-2,IF((Calcs!$E$12="PPC Cased 3mm boards - square backed"),$L$1/2000*Data!D28+2.75*2-2,0))))))))</f>
        <v>19</v>
      </c>
    </row>
    <row r="29" spans="1:18" x14ac:dyDescent="0.35">
      <c r="A29" t="s">
        <v>68</v>
      </c>
      <c r="B29">
        <v>60</v>
      </c>
      <c r="C29">
        <v>92</v>
      </c>
      <c r="D29">
        <v>89</v>
      </c>
      <c r="E29">
        <v>0.9</v>
      </c>
      <c r="F29">
        <v>1</v>
      </c>
      <c r="G29">
        <v>1.1000000000000001</v>
      </c>
      <c r="H29">
        <v>1.2</v>
      </c>
      <c r="I29">
        <v>1.3</v>
      </c>
      <c r="M29">
        <f t="shared" ref="M29" si="28">IF(($L$1/2000*D29)&lt;=29.9,+E29,IF(($L$1/2000*D29)&lt;=39.9,+F29,IF(($L$1/2000*D29)&lt;=49.9,+G29,IF(($L$1/2000*D29)&gt;=50,+H29,0))))+$L$1/2000*D29</f>
        <v>15.14</v>
      </c>
      <c r="N29">
        <f>IF((Calcs!$E$12="jacket Cased 2mm boards"),$L$1/2000*Data!D29+1.9*2,IF((Calcs!$E$12="jacket Cased 2.25mm boards"),$L$1/2000*Data!D29+2.25*2,IF((Calcs!$E$12="jacket Cased 2.5mm boards"),$L$1/2000*Data!D29+2.5*2,IF((Calcs!$E$12="jacket Cased 3mm boards"),$L$1/2000*Data!D29+2.75*2,))))</f>
        <v>0</v>
      </c>
      <c r="O29">
        <f t="shared" ref="O29" si="29">$L$1/2000*D29+I29</f>
        <v>15.540000000000001</v>
      </c>
      <c r="P29">
        <f>IF((Calcs!$E$12="jacket Cased 2mm boards"),$L$1/2000*Data!D29+1.9*2,IF((Calcs!$E$12="jacket Cased 2.25mm boards"),$L$1/2000*Data!D29+2.25*2,IF((Calcs!$E$12="jacket Cased 2.5mm boards"),$L$1/2000*Data!D29+2.5*2,IF((Calcs!$E$12="jacket Cased 3mm boards"),$L$1/2000*Data!D29+2.75*2,))))</f>
        <v>0</v>
      </c>
      <c r="Q29">
        <f>IF((Calcs!$E$12="PPC Cased 2mm boards - round backed"),$L$1/2000*Data!D29+3,IF((Calcs!$E$12="PPC Cased 2.25mm boards - round backed"),$L$1/2000*Data!D29+3,IF((Calcs!$E$12="PPC Cased 2.5mm boards - round backed"),$L$1/2000*Data!D29+3,IF((Calcs!$E$12="PPC Cased 3mm boards - round backed"),$L$1/2000*Data!D29+3,IF((Calcs!$E$12="PPC Cased 2mm boards - square backed"),$L$1/2000*Data!D29+1.9*2-2,IF((Calcs!$E$12="PPC Cased 2.25mm boards - square backed"),$L$1/2000*Data!D29+2.25*2-2,IF((Calcs!$E$12="PPC Cased 2.5mm boards - square backed"),$L$1/2000*Data!D29+2.5*2-2,IF((Calcs!$E$12="PPC Cased 3mm boards - square backed"),$L$1/2000*Data!D29+2.75*2-2,0))))))))</f>
        <v>17.240000000000002</v>
      </c>
      <c r="R29">
        <f>IF((Calcs!$E$12="PPC Cased 2mm boards - round backed"),$L$1/2000*Data!D29+3,IF((Calcs!$E$12="PPC Cased 2.25mm boards - round backed"),$L$1/2000*Data!D29+3,IF((Calcs!$E$12="PPC Cased 2.5mm boards - round backed"),$L$1/2000*Data!D29+3,IF((Calcs!$E$12="PPC Cased 3mm boards - round backed"),$L$1/2000*Data!D29+3,IF((Calcs!$E$12="PPC Cased 2mm boards - square backed"),$L$1/2000*Data!D29+1.9*2-2,IF((Calcs!$E$12="PPC Cased 2.25mm boards - square backed"),$L$1/2000*Data!D29+2.25*2-2,IF((Calcs!$E$12="PPC Cased 2.5mm boards - square backed"),$L$1/2000*Data!D29+2.5*2-2,IF((Calcs!$E$12="PPC Cased 3mm boards - square backed"),$L$1/2000*Data!D29+2.75*2-2,0))))))))</f>
        <v>17.240000000000002</v>
      </c>
    </row>
    <row r="30" spans="1:18" x14ac:dyDescent="0.35">
      <c r="A30" t="s">
        <v>71</v>
      </c>
      <c r="B30">
        <v>45</v>
      </c>
      <c r="C30">
        <v>81</v>
      </c>
      <c r="D30">
        <v>80</v>
      </c>
      <c r="E30">
        <v>0.9</v>
      </c>
      <c r="F30">
        <v>1</v>
      </c>
      <c r="G30">
        <v>1.1000000000000001</v>
      </c>
      <c r="H30">
        <v>1.2</v>
      </c>
      <c r="I30">
        <v>1.3</v>
      </c>
      <c r="M30">
        <f t="shared" ref="M30:M32" si="30">IF(($L$1/2000*D30)&lt;=29.9,+E30,IF(($L$1/2000*D30)&lt;=39.9,+F30,IF(($L$1/2000*D30)&lt;=49.9,+G30,IF(($L$1/2000*D30)&gt;=50,+H30,0))))+$L$1/2000*D30</f>
        <v>13.700000000000001</v>
      </c>
      <c r="N30">
        <f>IF((Calcs!$E$12="jacket Cased 2mm boards"),$L$1/2000*Data!D30+1.9*2,IF((Calcs!$E$12="jacket Cased 2.25mm boards"),$L$1/2000*Data!D30+2.25*2,IF((Calcs!$E$12="jacket Cased 2.5mm boards"),$L$1/2000*Data!D30+2.5*2,IF((Calcs!$E$12="jacket Cased 3mm boards"),$L$1/2000*Data!D30+2.75*2,))))</f>
        <v>0</v>
      </c>
      <c r="O30">
        <f t="shared" ref="O30:O32" si="31">$L$1/2000*D30+I30</f>
        <v>14.100000000000001</v>
      </c>
      <c r="P30">
        <f>IF((Calcs!$E$12="jacket Cased 2mm boards"),$L$1/2000*Data!D30+1.9*2,IF((Calcs!$E$12="jacket Cased 2.25mm boards"),$L$1/2000*Data!D30+2.25*2,IF((Calcs!$E$12="jacket Cased 2.5mm boards"),$L$1/2000*Data!D30+2.5*2,IF((Calcs!$E$12="jacket Cased 3mm boards"),$L$1/2000*Data!D30+2.75*2,))))</f>
        <v>0</v>
      </c>
      <c r="Q30">
        <f>IF((Calcs!$E$12="PPC Cased 2mm boards - round backed"),$L$1/2000*Data!D30+3,IF((Calcs!$E$12="PPC Cased 2.25mm boards - round backed"),$L$1/2000*Data!D30+3,IF((Calcs!$E$12="PPC Cased 2.5mm boards - round backed"),$L$1/2000*Data!D30+3,IF((Calcs!$E$12="PPC Cased 3mm boards - round backed"),$L$1/2000*Data!D30+3,IF((Calcs!$E$12="PPC Cased 2mm boards - square backed"),$L$1/2000*Data!D30+1.9*2-2,IF((Calcs!$E$12="PPC Cased 2.25mm boards - square backed"),$L$1/2000*Data!D30+2.25*2-2,IF((Calcs!$E$12="PPC Cased 2.5mm boards - square backed"),$L$1/2000*Data!D30+2.5*2-2,IF((Calcs!$E$12="PPC Cased 3mm boards - square backed"),$L$1/2000*Data!D30+2.75*2-2,0))))))))</f>
        <v>15.8</v>
      </c>
      <c r="R30">
        <f>IF((Calcs!$E$12="PPC Cased 2mm boards - round backed"),$L$1/2000*Data!D30+3,IF((Calcs!$E$12="PPC Cased 2.25mm boards - round backed"),$L$1/2000*Data!D30+3,IF((Calcs!$E$12="PPC Cased 2.5mm boards - round backed"),$L$1/2000*Data!D30+3,IF((Calcs!$E$12="PPC Cased 3mm boards - round backed"),$L$1/2000*Data!D30+3,IF((Calcs!$E$12="PPC Cased 2mm boards - square backed"),$L$1/2000*Data!D30+1.9*2-2,IF((Calcs!$E$12="PPC Cased 2.25mm boards - square backed"),$L$1/2000*Data!D30+2.25*2-2,IF((Calcs!$E$12="PPC Cased 2.5mm boards - square backed"),$L$1/2000*Data!D30+2.5*2-2,IF((Calcs!$E$12="PPC Cased 3mm boards - square backed"),$L$1/2000*Data!D30+2.75*2-2,0))))))))</f>
        <v>15.8</v>
      </c>
    </row>
    <row r="31" spans="1:18" x14ac:dyDescent="0.35">
      <c r="A31" t="s">
        <v>107</v>
      </c>
      <c r="B31">
        <v>80</v>
      </c>
      <c r="C31">
        <v>106</v>
      </c>
      <c r="D31">
        <v>106</v>
      </c>
      <c r="E31">
        <v>0.9</v>
      </c>
      <c r="F31">
        <v>1</v>
      </c>
      <c r="G31">
        <v>1.1000000000000001</v>
      </c>
      <c r="H31">
        <v>1.2</v>
      </c>
      <c r="I31">
        <v>1.3</v>
      </c>
      <c r="M31">
        <f t="shared" ref="M31" si="32">IF(($L$1/2000*D31)&lt;=29.9,+E31,IF(($L$1/2000*D31)&lt;=39.9,+F31,IF(($L$1/2000*D31)&lt;=49.9,+G31,IF(($L$1/2000*D31)&gt;=50,+H31,0))))+$L$1/2000*D31</f>
        <v>17.86</v>
      </c>
      <c r="N31">
        <f>IF((Calcs!$E$12="jacket Cased 2mm boards"),$L$1/2000*Data!D31+1.9*2,IF((Calcs!$E$12="jacket Cased 2.25mm boards"),$L$1/2000*Data!D31+2.25*2,IF((Calcs!$E$12="jacket Cased 2.5mm boards"),$L$1/2000*Data!D31+2.5*2,IF((Calcs!$E$12="jacket Cased 3mm boards"),$L$1/2000*Data!D31+2.75*2,))))</f>
        <v>0</v>
      </c>
      <c r="O31">
        <f t="shared" ref="O31" si="33">$L$1/2000*D31+I31</f>
        <v>18.260000000000002</v>
      </c>
      <c r="P31">
        <f>IF((Calcs!$E$12="jacket Cased 2mm boards"),$L$1/2000*Data!D31+1.9*2,IF((Calcs!$E$12="jacket Cased 2.25mm boards"),$L$1/2000*Data!D31+2.25*2,IF((Calcs!$E$12="jacket Cased 2.5mm boards"),$L$1/2000*Data!D31+2.5*2,IF((Calcs!$E$12="jacket Cased 3mm boards"),$L$1/2000*Data!D31+2.75*2,))))</f>
        <v>0</v>
      </c>
      <c r="Q31">
        <f>IF((Calcs!$E$12="PPC Cased 2mm boards - round backed"),$L$1/2000*Data!D31+3,IF((Calcs!$E$12="PPC Cased 2.25mm boards - round backed"),$L$1/2000*Data!D31+3,IF((Calcs!$E$12="PPC Cased 2.5mm boards - round backed"),$L$1/2000*Data!D31+3,IF((Calcs!$E$12="PPC Cased 3mm boards - round backed"),$L$1/2000*Data!D31+3,IF((Calcs!$E$12="PPC Cased 2mm boards - square backed"),$L$1/2000*Data!D31+1.9*2-2,IF((Calcs!$E$12="PPC Cased 2.25mm boards - square backed"),$L$1/2000*Data!D31+2.25*2-2,IF((Calcs!$E$12="PPC Cased 2.5mm boards - square backed"),$L$1/2000*Data!D31+2.5*2-2,IF((Calcs!$E$12="PPC Cased 3mm boards - square backed"),$L$1/2000*Data!D31+2.75*2-2,0))))))))</f>
        <v>19.96</v>
      </c>
      <c r="R31">
        <f>IF((Calcs!$E$12="PPC Cased 2mm boards - round backed"),$L$1/2000*Data!D31+3,IF((Calcs!$E$12="PPC Cased 2.25mm boards - round backed"),$L$1/2000*Data!D31+3,IF((Calcs!$E$12="PPC Cased 2.5mm boards - round backed"),$L$1/2000*Data!D31+3,IF((Calcs!$E$12="PPC Cased 3mm boards - round backed"),$L$1/2000*Data!D31+3,IF((Calcs!$E$12="PPC Cased 2mm boards - square backed"),$L$1/2000*Data!D31+1.9*2-2,IF((Calcs!$E$12="PPC Cased 2.25mm boards - square backed"),$L$1/2000*Data!D31+2.25*2-2,IF((Calcs!$E$12="PPC Cased 2.5mm boards - square backed"),$L$1/2000*Data!D31+2.5*2-2,IF((Calcs!$E$12="PPC Cased 3mm boards - square backed"),$L$1/2000*Data!D31+2.75*2-2,0))))))))</f>
        <v>19.96</v>
      </c>
    </row>
    <row r="32" spans="1:18" x14ac:dyDescent="0.35">
      <c r="A32" t="s">
        <v>70</v>
      </c>
      <c r="B32">
        <v>52</v>
      </c>
      <c r="C32">
        <v>83</v>
      </c>
      <c r="D32">
        <v>81</v>
      </c>
      <c r="E32">
        <v>0.9</v>
      </c>
      <c r="F32">
        <v>1</v>
      </c>
      <c r="G32">
        <v>1.1000000000000001</v>
      </c>
      <c r="H32">
        <v>1.2</v>
      </c>
      <c r="I32">
        <v>1.3</v>
      </c>
      <c r="M32">
        <f t="shared" si="30"/>
        <v>13.860000000000001</v>
      </c>
      <c r="N32">
        <f>IF((Calcs!$E$12="jacket Cased 2mm boards"),$L$1/2000*Data!D32+1.9*2,IF((Calcs!$E$12="jacket Cased 2.25mm boards"),$L$1/2000*Data!D32+2.25*2,IF((Calcs!$E$12="jacket Cased 2.5mm boards"),$L$1/2000*Data!D32+2.5*2,IF((Calcs!$E$12="jacket Cased 3mm boards"),$L$1/2000*Data!D32+2.75*2,))))</f>
        <v>0</v>
      </c>
      <c r="O32">
        <f t="shared" si="31"/>
        <v>14.260000000000002</v>
      </c>
      <c r="P32">
        <f>IF((Calcs!$E$12="jacket Cased 2mm boards"),$L$1/2000*Data!D32+1.9*2,IF((Calcs!$E$12="jacket Cased 2.25mm boards"),$L$1/2000*Data!D32+2.25*2,IF((Calcs!$E$12="jacket Cased 2.5mm boards"),$L$1/2000*Data!D32+2.5*2,IF((Calcs!$E$12="jacket Cased 3mm boards"),$L$1/2000*Data!D32+2.75*2,))))</f>
        <v>0</v>
      </c>
      <c r="Q32">
        <f>IF((Calcs!$E$12="PPC Cased 2mm boards - round backed"),$L$1/2000*Data!D32+3,IF((Calcs!$E$12="PPC Cased 2.25mm boards - round backed"),$L$1/2000*Data!D32+3,IF((Calcs!$E$12="PPC Cased 2.5mm boards - round backed"),$L$1/2000*Data!D32+3,IF((Calcs!$E$12="PPC Cased 3mm boards - round backed"),$L$1/2000*Data!D32+3,IF((Calcs!$E$12="PPC Cased 2mm boards - square backed"),$L$1/2000*Data!D32+1.9*2-2,IF((Calcs!$E$12="PPC Cased 2.25mm boards - square backed"),$L$1/2000*Data!D32+2.25*2-2,IF((Calcs!$E$12="PPC Cased 2.5mm boards - square backed"),$L$1/2000*Data!D32+2.5*2-2,IF((Calcs!$E$12="PPC Cased 3mm boards - square backed"),$L$1/2000*Data!D32+2.75*2-2,0))))))))</f>
        <v>15.96</v>
      </c>
      <c r="R32">
        <f>IF((Calcs!$E$12="PPC Cased 2mm boards - round backed"),$L$1/2000*Data!D32+3,IF((Calcs!$E$12="PPC Cased 2.25mm boards - round backed"),$L$1/2000*Data!D32+3,IF((Calcs!$E$12="PPC Cased 2.5mm boards - round backed"),$L$1/2000*Data!D32+3,IF((Calcs!$E$12="PPC Cased 3mm boards - round backed"),$L$1/2000*Data!D32+3,IF((Calcs!$E$12="PPC Cased 2mm boards - square backed"),$L$1/2000*Data!D32+1.9*2-2,IF((Calcs!$E$12="PPC Cased 2.25mm boards - square backed"),$L$1/2000*Data!D32+2.25*2-2,IF((Calcs!$E$12="PPC Cased 2.5mm boards - square backed"),$L$1/2000*Data!D32+2.5*2-2,IF((Calcs!$E$12="PPC Cased 3mm boards - square backed"),$L$1/2000*Data!D32+2.75*2-2,0))))))))</f>
        <v>15.96</v>
      </c>
    </row>
    <row r="33" spans="1:19" x14ac:dyDescent="0.35">
      <c r="A33" t="s">
        <v>108</v>
      </c>
      <c r="B33">
        <v>130</v>
      </c>
      <c r="C33">
        <v>109</v>
      </c>
      <c r="D33">
        <v>109</v>
      </c>
      <c r="E33">
        <v>0.9</v>
      </c>
      <c r="F33">
        <v>1</v>
      </c>
      <c r="G33">
        <v>1.1000000000000001</v>
      </c>
      <c r="H33">
        <v>1.2</v>
      </c>
      <c r="I33">
        <v>1.3</v>
      </c>
      <c r="M33">
        <f t="shared" ref="M33" si="34">IF(($L$1/2000*D33)&lt;=29.9,+E33,IF(($L$1/2000*D33)&lt;=39.9,+F33,IF(($L$1/2000*D33)&lt;=49.9,+G33,IF(($L$1/2000*D33)&gt;=50,+H33,0))))+$L$1/2000*D33</f>
        <v>18.34</v>
      </c>
      <c r="N33">
        <f>IF((Calcs!$E$12="jacket Cased 2mm boards"),$L$1/2000*Data!D33+1.9*2,IF((Calcs!$E$12="jacket Cased 2.25mm boards"),$L$1/2000*Data!D33+2.25*2,IF((Calcs!$E$12="jacket Cased 2.5mm boards"),$L$1/2000*Data!D33+2.5*2,IF((Calcs!$E$12="jacket Cased 3mm boards"),$L$1/2000*Data!D33+2.75*2,))))</f>
        <v>0</v>
      </c>
      <c r="O33">
        <f t="shared" ref="O33" si="35">$L$1/2000*D33+I33</f>
        <v>18.740000000000002</v>
      </c>
      <c r="P33">
        <f>IF((Calcs!$E$12="jacket Cased 2mm boards"),$L$1/2000*Data!D33+1.9*2,IF((Calcs!$E$12="jacket Cased 2.25mm boards"),$L$1/2000*Data!D33+2.25*2,IF((Calcs!$E$12="jacket Cased 2.5mm boards"),$L$1/2000*Data!D33+2.5*2,IF((Calcs!$E$12="jacket Cased 3mm boards"),$L$1/2000*Data!D33+2.75*2,))))</f>
        <v>0</v>
      </c>
      <c r="Q33">
        <f>IF((Calcs!$E$12="PPC Cased 2mm boards - round backed"),$L$1/2000*Data!D33+3,IF((Calcs!$E$12="PPC Cased 2.25mm boards - round backed"),$L$1/2000*Data!D33+3,IF((Calcs!$E$12="PPC Cased 2.5mm boards - round backed"),$L$1/2000*Data!D33+3,IF((Calcs!$E$12="PPC Cased 3mm boards - round backed"),$L$1/2000*Data!D33+3,IF((Calcs!$E$12="PPC Cased 2mm boards - square backed"),$L$1/2000*Data!D33+1.9*2-2,IF((Calcs!$E$12="PPC Cased 2.25mm boards - square backed"),$L$1/2000*Data!D33+2.25*2-2,IF((Calcs!$E$12="PPC Cased 2.5mm boards - square backed"),$L$1/2000*Data!D33+2.5*2-2,IF((Calcs!$E$12="PPC Cased 3mm boards - square backed"),$L$1/2000*Data!D33+2.75*2-2,0))))))))</f>
        <v>20.440000000000001</v>
      </c>
      <c r="R33">
        <f>IF((Calcs!$E$12="PPC Cased 2mm boards - round backed"),$L$1/2000*Data!D33+3,IF((Calcs!$E$12="PPC Cased 2.25mm boards - round backed"),$L$1/2000*Data!D33+3,IF((Calcs!$E$12="PPC Cased 2.5mm boards - round backed"),$L$1/2000*Data!D33+3,IF((Calcs!$E$12="PPC Cased 3mm boards - round backed"),$L$1/2000*Data!D33+3,IF((Calcs!$E$12="PPC Cased 2mm boards - square backed"),$L$1/2000*Data!D33+1.9*2-2,IF((Calcs!$E$12="PPC Cased 2.25mm boards - square backed"),$L$1/2000*Data!D33+2.25*2-2,IF((Calcs!$E$12="PPC Cased 2.5mm boards - square backed"),$L$1/2000*Data!D33+2.5*2-2,IF((Calcs!$E$12="PPC Cased 3mm boards - square backed"),$L$1/2000*Data!D33+2.75*2-2,0))))))))</f>
        <v>20.440000000000001</v>
      </c>
    </row>
    <row r="34" spans="1:19" x14ac:dyDescent="0.35">
      <c r="A34" t="s">
        <v>110</v>
      </c>
      <c r="B34">
        <v>80</v>
      </c>
      <c r="C34">
        <v>104</v>
      </c>
      <c r="D34">
        <v>103</v>
      </c>
      <c r="E34">
        <v>0.9</v>
      </c>
      <c r="F34">
        <v>1</v>
      </c>
      <c r="G34">
        <v>1.1000000000000001</v>
      </c>
      <c r="H34">
        <v>1.2</v>
      </c>
      <c r="I34">
        <v>1.3</v>
      </c>
      <c r="M34">
        <f t="shared" ref="M34" si="36">IF(($L$1/2000*D34)&lt;=29.9,+E34,IF(($L$1/2000*D34)&lt;=39.9,+F34,IF(($L$1/2000*D34)&lt;=49.9,+G34,IF(($L$1/2000*D34)&gt;=50,+H34,0))))+$L$1/2000*D34</f>
        <v>17.38</v>
      </c>
      <c r="N34">
        <f>IF((Calcs!$E$12="jacket Cased 2mm boards"),$L$1/2000*Data!D34+1.9*2,IF((Calcs!$E$12="jacket Cased 2.25mm boards"),$L$1/2000*Data!D34+2.25*2,IF((Calcs!$E$12="jacket Cased 2.5mm boards"),$L$1/2000*Data!D34+2.5*2,IF((Calcs!$E$12="jacket Cased 3mm boards"),$L$1/2000*Data!D34+2.75*2,))))</f>
        <v>0</v>
      </c>
      <c r="O34">
        <f t="shared" ref="O34" si="37">$L$1/2000*D34+I34</f>
        <v>17.78</v>
      </c>
      <c r="P34">
        <f>IF((Calcs!$E$12="jacket Cased 2mm boards"),$L$1/2000*Data!D34+1.9*2,IF((Calcs!$E$12="jacket Cased 2.25mm boards"),$L$1/2000*Data!D34+2.25*2,IF((Calcs!$E$12="jacket Cased 2.5mm boards"),$L$1/2000*Data!D34+2.5*2,IF((Calcs!$E$12="jacket Cased 3mm boards"),$L$1/2000*Data!D34+2.75*2,))))</f>
        <v>0</v>
      </c>
      <c r="Q34">
        <f>IF((Calcs!$E$12="PPC Cased 2mm boards - round backed"),$L$1/2000*Data!D34+3,IF((Calcs!$E$12="PPC Cased 2.25mm boards - round backed"),$L$1/2000*Data!D34+3,IF((Calcs!$E$12="PPC Cased 2.5mm boards - round backed"),$L$1/2000*Data!D34+3,IF((Calcs!$E$12="PPC Cased 3mm boards - round backed"),$L$1/2000*Data!D34+3,IF((Calcs!$E$12="PPC Cased 2mm boards - square backed"),$L$1/2000*Data!D34+1.9*2-2,IF((Calcs!$E$12="PPC Cased 2.25mm boards - square backed"),$L$1/2000*Data!D34+2.25*2-2,IF((Calcs!$E$12="PPC Cased 2.5mm boards - square backed"),$L$1/2000*Data!D34+2.5*2-2,IF((Calcs!$E$12="PPC Cased 3mm boards - square backed"),$L$1/2000*Data!D34+2.75*2-2,0))))))))</f>
        <v>19.48</v>
      </c>
      <c r="R34">
        <f>IF((Calcs!$E$12="PPC Cased 2mm boards - round backed"),$L$1/2000*Data!D34+3,IF((Calcs!$E$12="PPC Cased 2.25mm boards - round backed"),$L$1/2000*Data!D34+3,IF((Calcs!$E$12="PPC Cased 2.5mm boards - round backed"),$L$1/2000*Data!D34+3,IF((Calcs!$E$12="PPC Cased 3mm boards - round backed"),$L$1/2000*Data!D34+3,IF((Calcs!$E$12="PPC Cased 2mm boards - square backed"),$L$1/2000*Data!D34+1.9*2-2,IF((Calcs!$E$12="PPC Cased 2.25mm boards - square backed"),$L$1/2000*Data!D34+2.25*2-2,IF((Calcs!$E$12="PPC Cased 2.5mm boards - square backed"),$L$1/2000*Data!D34+2.5*2-2,IF((Calcs!$E$12="PPC Cased 3mm boards - square backed"),$L$1/2000*Data!D34+2.75*2-2,0))))))))</f>
        <v>19.48</v>
      </c>
    </row>
    <row r="35" spans="1:19" x14ac:dyDescent="0.35">
      <c r="A35" t="s">
        <v>114</v>
      </c>
      <c r="B35">
        <v>50</v>
      </c>
      <c r="C35">
        <v>113</v>
      </c>
      <c r="D35">
        <v>112</v>
      </c>
      <c r="E35">
        <v>0.9</v>
      </c>
      <c r="F35">
        <v>1</v>
      </c>
      <c r="G35">
        <v>1.1000000000000001</v>
      </c>
      <c r="H35">
        <v>1.2</v>
      </c>
      <c r="I35">
        <v>1.3</v>
      </c>
      <c r="M35">
        <f t="shared" ref="M35" si="38">IF(($L$1/2000*D35)&lt;=29.9,+E35,IF(($L$1/2000*D35)&lt;=39.9,+F35,IF(($L$1/2000*D35)&lt;=49.9,+G35,IF(($L$1/2000*D35)&gt;=50,+H35,0))))+$L$1/2000*D35</f>
        <v>18.82</v>
      </c>
      <c r="N35">
        <f>IF((Calcs!$E$12="jacket Cased 2mm boards"),$L$1/2000*Data!D35+1.9*2,IF((Calcs!$E$12="jacket Cased 2.25mm boards"),$L$1/2000*Data!D35+2.25*2,IF((Calcs!$E$12="jacket Cased 2.5mm boards"),$L$1/2000*Data!D35+2.5*2,IF((Calcs!$E$12="jacket Cased 3mm boards"),$L$1/2000*Data!D35+2.75*2,))))</f>
        <v>0</v>
      </c>
      <c r="O35">
        <f t="shared" ref="O35" si="39">$L$1/2000*D35+I35</f>
        <v>19.220000000000002</v>
      </c>
      <c r="P35">
        <f>IF((Calcs!$E$12="jacket Cased 2mm boards"),$L$1/2000*Data!D35+1.9*2,IF((Calcs!$E$12="jacket Cased 2.25mm boards"),$L$1/2000*Data!D35+2.25*2,IF((Calcs!$E$12="jacket Cased 2.5mm boards"),$L$1/2000*Data!D35+2.5*2,IF((Calcs!$E$12="jacket Cased 3mm boards"),$L$1/2000*Data!D35+2.75*2,))))</f>
        <v>0</v>
      </c>
      <c r="Q35">
        <f>IF((Calcs!$E$12="PPC Cased 2mm boards - round backed"),$L$1/2000*Data!D35+3,IF((Calcs!$E$12="PPC Cased 2.25mm boards - round backed"),$L$1/2000*Data!D35+3,IF((Calcs!$E$12="PPC Cased 2.5mm boards - round backed"),$L$1/2000*Data!D35+3,IF((Calcs!$E$12="PPC Cased 3mm boards - round backed"),$L$1/2000*Data!D35+3,IF((Calcs!$E$12="PPC Cased 2mm boards - square backed"),$L$1/2000*Data!D35+1.9*2-2,IF((Calcs!$E$12="PPC Cased 2.25mm boards - square backed"),$L$1/2000*Data!D35+2.25*2-2,IF((Calcs!$E$12="PPC Cased 2.5mm boards - square backed"),$L$1/2000*Data!D35+2.5*2-2,IF((Calcs!$E$12="PPC Cased 3mm boards - square backed"),$L$1/2000*Data!D35+2.75*2-2,0))))))))</f>
        <v>20.92</v>
      </c>
      <c r="R35">
        <f>IF((Calcs!$E$12="PPC Cased 2mm boards - round backed"),$L$1/2000*Data!D35+3,IF((Calcs!$E$12="PPC Cased 2.25mm boards - round backed"),$L$1/2000*Data!D35+3,IF((Calcs!$E$12="PPC Cased 2.5mm boards - round backed"),$L$1/2000*Data!D35+3,IF((Calcs!$E$12="PPC Cased 3mm boards - round backed"),$L$1/2000*Data!D35+3,IF((Calcs!$E$12="PPC Cased 2mm boards - square backed"),$L$1/2000*Data!D35+1.9*2-2,IF((Calcs!$E$12="PPC Cased 2.25mm boards - square backed"),$L$1/2000*Data!D35+2.25*2-2,IF((Calcs!$E$12="PPC Cased 2.5mm boards - square backed"),$L$1/2000*Data!D35+2.5*2-2,IF((Calcs!$E$12="PPC Cased 3mm boards - square backed"),$L$1/2000*Data!D35+2.75*2-2,0))))))))</f>
        <v>20.92</v>
      </c>
    </row>
    <row r="41" spans="1:19" x14ac:dyDescent="0.35">
      <c r="C41" s="23"/>
    </row>
    <row r="42" spans="1:19" x14ac:dyDescent="0.35">
      <c r="C42" s="23"/>
    </row>
    <row r="43" spans="1:19" x14ac:dyDescent="0.35">
      <c r="C43" s="22"/>
    </row>
    <row r="44" spans="1:19" ht="15" thickBot="1" x14ac:dyDescent="0.4">
      <c r="S44" t="s">
        <v>7</v>
      </c>
    </row>
    <row r="45" spans="1:19" x14ac:dyDescent="0.35">
      <c r="P45" s="2">
        <f>IF(Calcs!$E$10="a",Data!M2,IF(Calcs!$E$10="b",Data!M2,IF(Calcs!$E$10="royal",Data!O2,IF(Calcs!$E$10="demy",Data!O2))))</f>
        <v>19.380000000000003</v>
      </c>
      <c r="S45" t="s">
        <v>84</v>
      </c>
    </row>
    <row r="46" spans="1:19" x14ac:dyDescent="0.35">
      <c r="P46" s="16">
        <f>IF(Calcs!$E$10="a",Data!N2,IF(Calcs!$E$10="b",Data!N2,IF(Calcs!$E$10="royal",Data!P2,IF(Calcs!$E$10="demy",Data!P2))))</f>
        <v>1</v>
      </c>
      <c r="S46" t="s">
        <v>85</v>
      </c>
    </row>
    <row r="47" spans="1:19" x14ac:dyDescent="0.35">
      <c r="P47" s="17">
        <f>IF(Calcs!$E$10="a",Data!Q2,IF(Calcs!$E$10="b",Data!Q2,IF(Calcs!$E$10="royal",Data!R2,IF(Calcs!$E$10="demy",Data!R2))))</f>
        <v>22.080000000000002</v>
      </c>
      <c r="Q47" s="19"/>
      <c r="R47" s="19"/>
      <c r="S47" t="s">
        <v>16</v>
      </c>
    </row>
    <row r="48" spans="1:19" ht="15" thickBot="1" x14ac:dyDescent="0.4">
      <c r="P48" s="15">
        <f>IF(Calcs!$E$12="","",IF(Calcs!$E$12="limp",Data!P45,IF(Calcs!$E$12="jacket cased 2.25mm boards",Data!P46,IF(Calcs!$E$12="jacket cased 2mm boards",Data!P46,IF(Calcs!$E$12="jacket cased 2.5mm boards",Data!P46,IF(Calcs!$E$12="jacket cased 3mm boards",Data!P46,IF(Calcs!$E$12="ppc cased 2.25mm boards - square backed",Data!P47,IF(Calcs!$E$12="ppc cased 2mm boards - square backed",Data!P47,IF(Calcs!$E$12="ppc cased 2.5mm boards - square backed",Data!P47,IF(Calcs!$E$12="ppc cased 3mm boards - square backed",Data!P47,IF(Calcs!$E$12="ppc cased 2mm boards - round backed",Data!P47,IF(Calcs!$E$12="ppc cased 2.25mm boards - round backed",Data!P47,IF(Calcs!$E$12="ppc cased 2.5mm boards - round backed",Data!P47,IF(Data!P47,IF(Calcs!$E$12="ppc cased 3mm boards - round backed",Data!P47)))))))))))))))</f>
        <v>22.080000000000002</v>
      </c>
      <c r="Q48" s="19"/>
      <c r="R48" s="19"/>
    </row>
    <row r="49" spans="1:18" x14ac:dyDescent="0.35">
      <c r="Q49" s="19"/>
      <c r="R49" s="19"/>
    </row>
    <row r="51" spans="1:18" ht="15" thickBot="1" x14ac:dyDescent="0.4"/>
    <row r="52" spans="1:18" ht="15" thickBot="1" x14ac:dyDescent="0.4">
      <c r="A52" t="s">
        <v>28</v>
      </c>
      <c r="B52" t="s">
        <v>0</v>
      </c>
      <c r="C52" t="s">
        <v>1</v>
      </c>
      <c r="D52" t="s">
        <v>2</v>
      </c>
      <c r="K52" t="s">
        <v>11</v>
      </c>
      <c r="L52" s="1">
        <f>Calcs!E15</f>
        <v>0</v>
      </c>
      <c r="M52" t="s">
        <v>13</v>
      </c>
      <c r="N52" t="s">
        <v>12</v>
      </c>
      <c r="O52" t="s">
        <v>14</v>
      </c>
      <c r="P52" t="s">
        <v>15</v>
      </c>
    </row>
    <row r="53" spans="1:18" ht="15" thickBot="1" x14ac:dyDescent="0.4">
      <c r="A53" t="s">
        <v>32</v>
      </c>
      <c r="M53" s="1" t="e">
        <f>IF(Calcs!$E$16="Gloss art 130gsm",VLOOKUP(Data!L52,Data!A54:P63,13,FALSE),VLOOKUP(L52,A66:P75,13,FALSE))</f>
        <v>#N/A</v>
      </c>
      <c r="N53" s="1" t="e">
        <f>IF(Calcs!$E$16="Gloss Art 130gsm",VLOOKUP(Data!L52,Data!A54:P63,14,FALSE),VLOOKUP(L52,A66:P75,14,FALSE))</f>
        <v>#N/A</v>
      </c>
      <c r="O53" s="1" t="e">
        <f>IF(Calcs!$E$16="Gloss art 130gsm",VLOOKUP(Data!L52,Data!A54:P63,15,FALSE),VLOOKUP(L52,A66:P75,15,FALSE))</f>
        <v>#N/A</v>
      </c>
      <c r="P53" s="1" t="e">
        <f>IF(Calcs!$E$16="Gloss art 130gsm",VLOOKUP(Data!L52,Data!A54:P63,16,FALSE),VLOOKUP(L52,A66:P75,16,FALSE))</f>
        <v>#N/A</v>
      </c>
    </row>
    <row r="54" spans="1:18" x14ac:dyDescent="0.35">
      <c r="A54">
        <v>4</v>
      </c>
      <c r="B54">
        <v>130</v>
      </c>
      <c r="C54">
        <v>95</v>
      </c>
      <c r="D54">
        <v>95</v>
      </c>
      <c r="M54">
        <f>$L$52/2000*D54</f>
        <v>0</v>
      </c>
      <c r="N54">
        <f>$L$52/2000*D54</f>
        <v>0</v>
      </c>
      <c r="O54">
        <f>$L$52/2000*C54</f>
        <v>0</v>
      </c>
      <c r="P54">
        <f>$L$52/2000*C54</f>
        <v>0</v>
      </c>
    </row>
    <row r="55" spans="1:18" x14ac:dyDescent="0.35">
      <c r="A55">
        <v>8</v>
      </c>
      <c r="B55">
        <v>130</v>
      </c>
      <c r="C55">
        <v>95</v>
      </c>
      <c r="D55">
        <v>95</v>
      </c>
      <c r="M55">
        <f t="shared" ref="M55:M63" si="40">$L$52/2000*D55</f>
        <v>0</v>
      </c>
      <c r="N55">
        <f t="shared" ref="N55:N63" si="41">$L$52/2000*D55</f>
        <v>0</v>
      </c>
      <c r="O55">
        <f t="shared" ref="O55:O63" si="42">$L$52/2000*C55</f>
        <v>0</v>
      </c>
      <c r="P55">
        <f t="shared" ref="P55:P63" si="43">$L$52/2000*C55</f>
        <v>0</v>
      </c>
    </row>
    <row r="56" spans="1:18" x14ac:dyDescent="0.35">
      <c r="A56">
        <v>12</v>
      </c>
      <c r="B56">
        <v>130</v>
      </c>
      <c r="C56">
        <v>95</v>
      </c>
      <c r="D56">
        <v>95</v>
      </c>
      <c r="M56">
        <f t="shared" si="40"/>
        <v>0</v>
      </c>
      <c r="N56">
        <f t="shared" si="41"/>
        <v>0</v>
      </c>
      <c r="O56">
        <f t="shared" si="42"/>
        <v>0</v>
      </c>
      <c r="P56">
        <f t="shared" si="43"/>
        <v>0</v>
      </c>
    </row>
    <row r="57" spans="1:18" x14ac:dyDescent="0.35">
      <c r="A57">
        <v>16</v>
      </c>
      <c r="B57">
        <v>130</v>
      </c>
      <c r="C57">
        <v>95</v>
      </c>
      <c r="D57">
        <v>95</v>
      </c>
      <c r="M57">
        <f t="shared" si="40"/>
        <v>0</v>
      </c>
      <c r="N57">
        <f t="shared" si="41"/>
        <v>0</v>
      </c>
      <c r="O57">
        <f t="shared" si="42"/>
        <v>0</v>
      </c>
      <c r="P57">
        <f t="shared" si="43"/>
        <v>0</v>
      </c>
    </row>
    <row r="58" spans="1:18" x14ac:dyDescent="0.35">
      <c r="A58">
        <v>24</v>
      </c>
      <c r="B58">
        <v>130</v>
      </c>
      <c r="C58">
        <v>95</v>
      </c>
      <c r="D58">
        <v>95</v>
      </c>
      <c r="M58">
        <f t="shared" si="40"/>
        <v>0</v>
      </c>
      <c r="N58">
        <f t="shared" si="41"/>
        <v>0</v>
      </c>
      <c r="O58">
        <f t="shared" si="42"/>
        <v>0</v>
      </c>
      <c r="P58">
        <f t="shared" si="43"/>
        <v>0</v>
      </c>
    </row>
    <row r="59" spans="1:18" x14ac:dyDescent="0.35">
      <c r="A59">
        <v>32</v>
      </c>
      <c r="B59">
        <v>130</v>
      </c>
      <c r="C59">
        <v>95</v>
      </c>
      <c r="D59">
        <v>95</v>
      </c>
      <c r="M59">
        <f t="shared" si="40"/>
        <v>0</v>
      </c>
      <c r="N59">
        <f t="shared" si="41"/>
        <v>0</v>
      </c>
      <c r="O59">
        <f t="shared" si="42"/>
        <v>0</v>
      </c>
      <c r="P59">
        <f t="shared" si="43"/>
        <v>0</v>
      </c>
    </row>
    <row r="60" spans="1:18" x14ac:dyDescent="0.35">
      <c r="A60">
        <v>40</v>
      </c>
      <c r="B60">
        <v>130</v>
      </c>
      <c r="C60">
        <v>95</v>
      </c>
      <c r="D60">
        <v>95</v>
      </c>
      <c r="M60">
        <f t="shared" si="40"/>
        <v>0</v>
      </c>
      <c r="N60">
        <f t="shared" si="41"/>
        <v>0</v>
      </c>
      <c r="O60">
        <f t="shared" si="42"/>
        <v>0</v>
      </c>
      <c r="P60">
        <f t="shared" si="43"/>
        <v>0</v>
      </c>
    </row>
    <row r="61" spans="1:18" x14ac:dyDescent="0.35">
      <c r="A61">
        <v>48</v>
      </c>
      <c r="B61">
        <v>130</v>
      </c>
      <c r="C61">
        <v>95</v>
      </c>
      <c r="D61">
        <v>95</v>
      </c>
      <c r="M61">
        <f t="shared" si="40"/>
        <v>0</v>
      </c>
      <c r="N61">
        <f t="shared" si="41"/>
        <v>0</v>
      </c>
      <c r="O61">
        <f t="shared" si="42"/>
        <v>0</v>
      </c>
      <c r="P61">
        <f t="shared" si="43"/>
        <v>0</v>
      </c>
    </row>
    <row r="62" spans="1:18" x14ac:dyDescent="0.35">
      <c r="A62">
        <v>56</v>
      </c>
      <c r="B62">
        <v>130</v>
      </c>
      <c r="C62">
        <v>95</v>
      </c>
      <c r="D62">
        <v>95</v>
      </c>
      <c r="M62">
        <f t="shared" si="40"/>
        <v>0</v>
      </c>
      <c r="N62">
        <f t="shared" si="41"/>
        <v>0</v>
      </c>
      <c r="O62">
        <f t="shared" si="42"/>
        <v>0</v>
      </c>
      <c r="P62">
        <f t="shared" si="43"/>
        <v>0</v>
      </c>
    </row>
    <row r="63" spans="1:18" x14ac:dyDescent="0.35">
      <c r="A63">
        <v>64</v>
      </c>
      <c r="B63">
        <v>130</v>
      </c>
      <c r="C63">
        <v>95</v>
      </c>
      <c r="D63">
        <v>95</v>
      </c>
      <c r="M63">
        <f t="shared" si="40"/>
        <v>0</v>
      </c>
      <c r="N63">
        <f t="shared" si="41"/>
        <v>0</v>
      </c>
      <c r="O63">
        <f t="shared" si="42"/>
        <v>0</v>
      </c>
      <c r="P63">
        <f t="shared" si="43"/>
        <v>0</v>
      </c>
    </row>
    <row r="65" spans="1:19" x14ac:dyDescent="0.35">
      <c r="A65" t="s">
        <v>33</v>
      </c>
    </row>
    <row r="66" spans="1:19" x14ac:dyDescent="0.35">
      <c r="A66">
        <v>4</v>
      </c>
      <c r="B66">
        <v>130</v>
      </c>
      <c r="C66">
        <v>112</v>
      </c>
      <c r="D66">
        <v>112</v>
      </c>
      <c r="M66">
        <f>$L$52/2000*D66</f>
        <v>0</v>
      </c>
      <c r="N66">
        <f>$L$52/2000*D66</f>
        <v>0</v>
      </c>
      <c r="O66">
        <f>$L$52/2000*C66</f>
        <v>0</v>
      </c>
      <c r="P66">
        <f>$L$52/2000*C66</f>
        <v>0</v>
      </c>
    </row>
    <row r="67" spans="1:19" x14ac:dyDescent="0.35">
      <c r="A67">
        <v>8</v>
      </c>
      <c r="B67">
        <v>130</v>
      </c>
      <c r="C67">
        <v>112</v>
      </c>
      <c r="D67">
        <v>112</v>
      </c>
      <c r="M67">
        <f t="shared" ref="M67:M74" si="44">$L$52/2000*D67</f>
        <v>0</v>
      </c>
      <c r="N67">
        <f t="shared" ref="N67:N74" si="45">$L$52/2000*D67</f>
        <v>0</v>
      </c>
      <c r="O67">
        <f t="shared" ref="O67:O74" si="46">$L$52/2000*C67</f>
        <v>0</v>
      </c>
      <c r="P67">
        <f t="shared" ref="P67:P74" si="47">$L$52/2000*C67</f>
        <v>0</v>
      </c>
    </row>
    <row r="68" spans="1:19" x14ac:dyDescent="0.35">
      <c r="A68">
        <v>12</v>
      </c>
      <c r="B68">
        <v>130</v>
      </c>
      <c r="C68">
        <v>112</v>
      </c>
      <c r="D68">
        <v>112</v>
      </c>
      <c r="M68">
        <f t="shared" si="44"/>
        <v>0</v>
      </c>
      <c r="N68">
        <f t="shared" si="45"/>
        <v>0</v>
      </c>
      <c r="O68">
        <f t="shared" si="46"/>
        <v>0</v>
      </c>
      <c r="P68">
        <f t="shared" si="47"/>
        <v>0</v>
      </c>
    </row>
    <row r="69" spans="1:19" x14ac:dyDescent="0.35">
      <c r="A69">
        <v>16</v>
      </c>
      <c r="B69">
        <v>130</v>
      </c>
      <c r="C69">
        <v>112</v>
      </c>
      <c r="D69">
        <v>112</v>
      </c>
      <c r="M69">
        <f t="shared" si="44"/>
        <v>0</v>
      </c>
      <c r="N69">
        <f t="shared" si="45"/>
        <v>0</v>
      </c>
      <c r="O69">
        <f t="shared" si="46"/>
        <v>0</v>
      </c>
      <c r="P69">
        <f t="shared" si="47"/>
        <v>0</v>
      </c>
    </row>
    <row r="70" spans="1:19" x14ac:dyDescent="0.35">
      <c r="A70">
        <v>24</v>
      </c>
      <c r="B70">
        <v>130</v>
      </c>
      <c r="C70">
        <v>112</v>
      </c>
      <c r="D70">
        <v>112</v>
      </c>
      <c r="M70">
        <f t="shared" si="44"/>
        <v>0</v>
      </c>
      <c r="N70">
        <f t="shared" si="45"/>
        <v>0</v>
      </c>
      <c r="O70">
        <f t="shared" si="46"/>
        <v>0</v>
      </c>
      <c r="P70">
        <f t="shared" si="47"/>
        <v>0</v>
      </c>
    </row>
    <row r="71" spans="1:19" x14ac:dyDescent="0.35">
      <c r="A71">
        <v>32</v>
      </c>
      <c r="B71">
        <v>130</v>
      </c>
      <c r="C71">
        <v>112</v>
      </c>
      <c r="D71">
        <v>112</v>
      </c>
      <c r="M71">
        <f>$L$52/2000*D71</f>
        <v>0</v>
      </c>
      <c r="N71">
        <f t="shared" si="45"/>
        <v>0</v>
      </c>
      <c r="O71">
        <f t="shared" si="46"/>
        <v>0</v>
      </c>
      <c r="P71">
        <f t="shared" si="47"/>
        <v>0</v>
      </c>
    </row>
    <row r="72" spans="1:19" x14ac:dyDescent="0.35">
      <c r="A72">
        <v>40</v>
      </c>
      <c r="B72">
        <v>130</v>
      </c>
      <c r="C72">
        <v>112</v>
      </c>
      <c r="D72">
        <v>112</v>
      </c>
      <c r="M72">
        <f t="shared" si="44"/>
        <v>0</v>
      </c>
      <c r="N72">
        <f t="shared" si="45"/>
        <v>0</v>
      </c>
      <c r="O72">
        <f t="shared" si="46"/>
        <v>0</v>
      </c>
      <c r="P72">
        <f t="shared" si="47"/>
        <v>0</v>
      </c>
    </row>
    <row r="73" spans="1:19" x14ac:dyDescent="0.35">
      <c r="A73">
        <v>48</v>
      </c>
      <c r="B73">
        <v>130</v>
      </c>
      <c r="C73">
        <v>112</v>
      </c>
      <c r="D73">
        <v>112</v>
      </c>
      <c r="M73">
        <f t="shared" si="44"/>
        <v>0</v>
      </c>
      <c r="N73">
        <f t="shared" si="45"/>
        <v>0</v>
      </c>
      <c r="O73">
        <f t="shared" si="46"/>
        <v>0</v>
      </c>
      <c r="P73">
        <f t="shared" si="47"/>
        <v>0</v>
      </c>
    </row>
    <row r="74" spans="1:19" x14ac:dyDescent="0.35">
      <c r="A74">
        <v>56</v>
      </c>
      <c r="B74">
        <v>130</v>
      </c>
      <c r="C74">
        <v>112</v>
      </c>
      <c r="D74">
        <v>112</v>
      </c>
      <c r="M74">
        <f t="shared" si="44"/>
        <v>0</v>
      </c>
      <c r="N74">
        <f t="shared" si="45"/>
        <v>0</v>
      </c>
      <c r="O74">
        <f t="shared" si="46"/>
        <v>0</v>
      </c>
      <c r="P74">
        <f t="shared" si="47"/>
        <v>0</v>
      </c>
    </row>
    <row r="75" spans="1:19" x14ac:dyDescent="0.35">
      <c r="A75">
        <v>64</v>
      </c>
      <c r="B75">
        <v>130</v>
      </c>
      <c r="C75">
        <v>112</v>
      </c>
      <c r="D75">
        <v>112</v>
      </c>
      <c r="M75">
        <f t="shared" ref="M75" si="48">$L$52/2000*D75</f>
        <v>0</v>
      </c>
      <c r="N75">
        <f t="shared" ref="N75" si="49">$L$52/2000*D75</f>
        <v>0</v>
      </c>
      <c r="O75">
        <f t="shared" ref="O75" si="50">$L$52/2000*C75</f>
        <v>0</v>
      </c>
      <c r="P75">
        <f t="shared" ref="P75" si="51">$L$52/2000*C75</f>
        <v>0</v>
      </c>
    </row>
    <row r="77" spans="1:19" ht="15" thickBot="1" x14ac:dyDescent="0.4">
      <c r="S77" t="s">
        <v>7</v>
      </c>
    </row>
    <row r="78" spans="1:19" x14ac:dyDescent="0.35">
      <c r="P78" s="2" t="e">
        <f>IF(Calcs!$E$10="a",Data!M53,IF(Calcs!$E$10="b",Data!M53,IF(Calcs!$E$10="royal",Data!O53,IF(Calcs!$E$10="demy",Data!O53))))</f>
        <v>#N/A</v>
      </c>
      <c r="S78" t="s">
        <v>84</v>
      </c>
    </row>
    <row r="79" spans="1:19" ht="15" thickBot="1" x14ac:dyDescent="0.4">
      <c r="P79" s="3" t="e">
        <f>IF(Calcs!$E$10="a",Data!N53,IF(Calcs!$E$10="b",Data!N53,IF(Calcs!$E$10="royal",Data!P53,IF(Calcs!$E$10="demy",Data!P53))))</f>
        <v>#N/A</v>
      </c>
      <c r="S79" t="s">
        <v>85</v>
      </c>
    </row>
    <row r="80" spans="1:19" x14ac:dyDescent="0.35">
      <c r="P80" t="e">
        <f>IF(Calcs!$E$10="a",Data!N53,IF(Calcs!$E$10="b",Data!N53,IF(Calcs!$E$10="royal",Data!P53,IF(Calcs!$E$10="demy",Data!P53))))</f>
        <v>#N/A</v>
      </c>
    </row>
    <row r="81" spans="16:19" ht="15" thickBot="1" x14ac:dyDescent="0.4">
      <c r="S81" t="s">
        <v>16</v>
      </c>
    </row>
    <row r="82" spans="16:19" ht="15" thickBot="1" x14ac:dyDescent="0.4">
      <c r="P82" s="1">
        <f>IF(Calcs!E15="",0,Data!P78)</f>
        <v>0</v>
      </c>
    </row>
  </sheetData>
  <sortState xmlns:xlrd2="http://schemas.microsoft.com/office/spreadsheetml/2017/richdata2" ref="A2:L25">
    <sortCondition ref="A2:A25"/>
  </sortState>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17"/>
  <sheetViews>
    <sheetView tabSelected="1" topLeftCell="A7" workbookViewId="0">
      <selection activeCell="B13" sqref="B13"/>
    </sheetView>
  </sheetViews>
  <sheetFormatPr defaultColWidth="9.08984375" defaultRowHeight="13.5" x14ac:dyDescent="0.25"/>
  <cols>
    <col min="1" max="2" width="9.08984375" style="4"/>
    <col min="3" max="3" width="11.54296875" style="4" bestFit="1" customWidth="1"/>
    <col min="4" max="4" width="22.453125" style="4" customWidth="1"/>
    <col min="5" max="5" width="49.453125" style="4" customWidth="1"/>
    <col min="6" max="6" width="11.08984375" style="4" customWidth="1"/>
    <col min="7" max="15" width="9.08984375" style="4"/>
    <col min="16" max="16" width="9.08984375" style="4" hidden="1" customWidth="1"/>
    <col min="17" max="17" width="9.453125" style="4" hidden="1" customWidth="1"/>
    <col min="18" max="18" width="22.90625" style="4" hidden="1" customWidth="1"/>
    <col min="19" max="19" width="5.54296875" style="4" hidden="1" customWidth="1"/>
    <col min="20" max="20" width="9.08984375" style="4" hidden="1" customWidth="1"/>
    <col min="21" max="21" width="28.54296875" style="4" hidden="1" customWidth="1"/>
    <col min="22" max="22" width="23.54296875" style="4" hidden="1" customWidth="1"/>
    <col min="23" max="23" width="7.54296875" style="4" hidden="1" customWidth="1"/>
    <col min="24" max="24" width="8.90625" style="4" customWidth="1"/>
    <col min="25" max="27" width="9.08984375" style="4" customWidth="1"/>
    <col min="28" max="16384" width="9.08984375" style="4"/>
  </cols>
  <sheetData>
    <row r="1" spans="1:22" x14ac:dyDescent="0.25">
      <c r="A1" s="4" t="s">
        <v>17</v>
      </c>
      <c r="R1" s="4" t="s">
        <v>3</v>
      </c>
      <c r="S1" s="5">
        <v>64</v>
      </c>
      <c r="U1" s="4" t="s">
        <v>71</v>
      </c>
      <c r="V1" s="4" t="s">
        <v>24</v>
      </c>
    </row>
    <row r="2" spans="1:22" x14ac:dyDescent="0.25">
      <c r="R2" s="4" t="s">
        <v>4</v>
      </c>
      <c r="S2" s="5">
        <v>72</v>
      </c>
      <c r="U2" s="4" t="s">
        <v>38</v>
      </c>
      <c r="V2" s="4" t="s">
        <v>23</v>
      </c>
    </row>
    <row r="3" spans="1:22" x14ac:dyDescent="0.25">
      <c r="R3" s="4" t="s">
        <v>5</v>
      </c>
      <c r="S3" s="5">
        <v>80</v>
      </c>
      <c r="U3" s="4" t="s">
        <v>67</v>
      </c>
      <c r="V3" s="4" t="s">
        <v>21</v>
      </c>
    </row>
    <row r="4" spans="1:22" x14ac:dyDescent="0.25">
      <c r="R4" s="4" t="s">
        <v>6</v>
      </c>
      <c r="S4" s="5">
        <v>88</v>
      </c>
      <c r="U4" s="4" t="s">
        <v>39</v>
      </c>
      <c r="V4" s="4" t="s">
        <v>18</v>
      </c>
    </row>
    <row r="5" spans="1:22" x14ac:dyDescent="0.25">
      <c r="R5" s="4" t="s">
        <v>61</v>
      </c>
      <c r="S5" s="5">
        <v>96</v>
      </c>
      <c r="U5" s="4" t="s">
        <v>69</v>
      </c>
      <c r="V5" s="4" t="s">
        <v>20</v>
      </c>
    </row>
    <row r="6" spans="1:22" x14ac:dyDescent="0.25">
      <c r="R6" s="4" t="s">
        <v>92</v>
      </c>
      <c r="S6" s="5">
        <v>104</v>
      </c>
      <c r="U6" s="4" t="s">
        <v>109</v>
      </c>
      <c r="V6" s="4" t="s">
        <v>26</v>
      </c>
    </row>
    <row r="7" spans="1:22" ht="17.5" x14ac:dyDescent="0.35">
      <c r="D7" s="27" t="s">
        <v>36</v>
      </c>
      <c r="E7" s="27"/>
      <c r="F7" s="27"/>
      <c r="G7" s="6"/>
      <c r="H7" s="6"/>
      <c r="I7" s="6"/>
      <c r="J7" s="6"/>
      <c r="K7" s="6"/>
      <c r="R7" s="4" t="s">
        <v>93</v>
      </c>
      <c r="S7" s="5">
        <v>112</v>
      </c>
      <c r="U7" s="4" t="s">
        <v>111</v>
      </c>
    </row>
    <row r="8" spans="1:22" ht="17.5" x14ac:dyDescent="0.35">
      <c r="D8" s="27" t="s">
        <v>62</v>
      </c>
      <c r="E8" s="27"/>
      <c r="F8" s="27"/>
      <c r="R8" s="4" t="s">
        <v>94</v>
      </c>
      <c r="S8" s="5">
        <v>120</v>
      </c>
      <c r="U8" s="4" t="s">
        <v>66</v>
      </c>
    </row>
    <row r="9" spans="1:22" ht="14" thickBot="1" x14ac:dyDescent="0.3">
      <c r="R9" s="4" t="s">
        <v>95</v>
      </c>
      <c r="S9" s="5">
        <v>128</v>
      </c>
      <c r="U9" s="4" t="s">
        <v>105</v>
      </c>
    </row>
    <row r="10" spans="1:22" ht="14" thickBot="1" x14ac:dyDescent="0.3">
      <c r="D10" s="4" t="s">
        <v>8</v>
      </c>
      <c r="E10" s="8" t="s">
        <v>6</v>
      </c>
      <c r="R10" s="4" t="s">
        <v>72</v>
      </c>
      <c r="S10" s="5">
        <v>136</v>
      </c>
      <c r="U10" s="4" t="s">
        <v>40</v>
      </c>
    </row>
    <row r="11" spans="1:22" ht="14" thickBot="1" x14ac:dyDescent="0.3">
      <c r="D11" s="4" t="s">
        <v>9</v>
      </c>
      <c r="E11" s="8">
        <v>320</v>
      </c>
      <c r="R11" s="4" t="s">
        <v>73</v>
      </c>
      <c r="S11" s="5">
        <v>144</v>
      </c>
      <c r="U11" s="4" t="s">
        <v>41</v>
      </c>
    </row>
    <row r="12" spans="1:22" ht="14" thickBot="1" x14ac:dyDescent="0.3">
      <c r="D12" s="4" t="s">
        <v>65</v>
      </c>
      <c r="E12" s="8" t="s">
        <v>72</v>
      </c>
      <c r="R12" s="4" t="s">
        <v>74</v>
      </c>
      <c r="S12" s="5">
        <v>152</v>
      </c>
      <c r="U12" s="4" t="s">
        <v>42</v>
      </c>
    </row>
    <row r="13" spans="1:22" ht="14" thickBot="1" x14ac:dyDescent="0.3">
      <c r="D13" s="4" t="s">
        <v>19</v>
      </c>
      <c r="E13" s="8" t="s">
        <v>111</v>
      </c>
      <c r="R13" s="4" t="s">
        <v>75</v>
      </c>
      <c r="S13" s="5">
        <v>160</v>
      </c>
      <c r="U13" s="4" t="s">
        <v>43</v>
      </c>
    </row>
    <row r="14" spans="1:22" ht="14" hidden="1" thickBot="1" x14ac:dyDescent="0.3">
      <c r="D14" s="4" t="s">
        <v>22</v>
      </c>
      <c r="E14" s="8" t="s">
        <v>24</v>
      </c>
      <c r="R14" s="4" t="s">
        <v>76</v>
      </c>
      <c r="S14" s="5">
        <v>168</v>
      </c>
      <c r="U14" s="4" t="s">
        <v>112</v>
      </c>
    </row>
    <row r="15" spans="1:22" ht="14" thickBot="1" x14ac:dyDescent="0.3">
      <c r="D15" s="4" t="s">
        <v>27</v>
      </c>
      <c r="E15" s="8"/>
      <c r="R15" s="4" t="s">
        <v>77</v>
      </c>
      <c r="S15" s="5">
        <v>176</v>
      </c>
      <c r="U15" s="4" t="s">
        <v>44</v>
      </c>
    </row>
    <row r="16" spans="1:22" ht="14" thickBot="1" x14ac:dyDescent="0.3">
      <c r="D16" s="4" t="s">
        <v>29</v>
      </c>
      <c r="E16" s="8" t="s">
        <v>30</v>
      </c>
      <c r="R16" s="4" t="s">
        <v>78</v>
      </c>
      <c r="S16" s="5">
        <v>184</v>
      </c>
      <c r="U16" s="4" t="s">
        <v>68</v>
      </c>
    </row>
    <row r="17" spans="1:21" x14ac:dyDescent="0.25">
      <c r="R17" s="4" t="s">
        <v>79</v>
      </c>
      <c r="S17" s="5">
        <v>192</v>
      </c>
      <c r="U17" s="4" t="s">
        <v>108</v>
      </c>
    </row>
    <row r="18" spans="1:21" x14ac:dyDescent="0.25">
      <c r="D18" s="4" t="s">
        <v>10</v>
      </c>
      <c r="E18" s="7" t="str">
        <f>CONCATENATE("",Data!S13,"mm")</f>
        <v>23mm</v>
      </c>
      <c r="S18" s="5">
        <v>200</v>
      </c>
      <c r="U18" s="4" t="s">
        <v>103</v>
      </c>
    </row>
    <row r="19" spans="1:21" ht="14" thickBot="1" x14ac:dyDescent="0.3">
      <c r="S19" s="5">
        <v>208</v>
      </c>
      <c r="U19" s="4" t="s">
        <v>113</v>
      </c>
    </row>
    <row r="20" spans="1:21" ht="48" customHeight="1" thickBot="1" x14ac:dyDescent="0.3">
      <c r="D20" s="24" t="s">
        <v>64</v>
      </c>
      <c r="E20" s="25"/>
      <c r="F20" s="25"/>
      <c r="G20" s="26"/>
      <c r="S20" s="5">
        <v>216</v>
      </c>
      <c r="U20" s="4" t="s">
        <v>45</v>
      </c>
    </row>
    <row r="21" spans="1:21" ht="34.5" customHeight="1" thickBot="1" x14ac:dyDescent="0.3">
      <c r="D21" s="24" t="s">
        <v>96</v>
      </c>
      <c r="E21" s="25"/>
      <c r="F21" s="25"/>
      <c r="G21" s="26"/>
      <c r="S21" s="5">
        <v>224</v>
      </c>
      <c r="U21" s="4" t="s">
        <v>102</v>
      </c>
    </row>
    <row r="22" spans="1:21" ht="30.75" customHeight="1" thickBot="1" x14ac:dyDescent="0.3">
      <c r="D22" s="24" t="s">
        <v>97</v>
      </c>
      <c r="E22" s="25"/>
      <c r="F22" s="25"/>
      <c r="G22" s="26"/>
      <c r="S22" s="5">
        <v>232</v>
      </c>
      <c r="U22" s="4" t="s">
        <v>46</v>
      </c>
    </row>
    <row r="23" spans="1:21" ht="56.25" customHeight="1" thickBot="1" x14ac:dyDescent="0.3">
      <c r="D23" s="24" t="s">
        <v>98</v>
      </c>
      <c r="E23" s="25"/>
      <c r="F23" s="25"/>
      <c r="G23" s="26"/>
      <c r="R23" s="4">
        <v>4</v>
      </c>
      <c r="S23" s="5">
        <v>240</v>
      </c>
      <c r="U23" s="4" t="s">
        <v>70</v>
      </c>
    </row>
    <row r="24" spans="1:21" x14ac:dyDescent="0.25">
      <c r="R24" s="4">
        <v>8</v>
      </c>
      <c r="S24" s="5">
        <v>248</v>
      </c>
      <c r="U24" s="4" t="s">
        <v>104</v>
      </c>
    </row>
    <row r="25" spans="1:21" x14ac:dyDescent="0.25">
      <c r="R25" s="4">
        <v>12</v>
      </c>
      <c r="S25" s="5">
        <v>256</v>
      </c>
      <c r="U25" s="4" t="s">
        <v>115</v>
      </c>
    </row>
    <row r="26" spans="1:21" x14ac:dyDescent="0.25">
      <c r="R26" s="4">
        <v>16</v>
      </c>
      <c r="S26" s="5">
        <v>264</v>
      </c>
      <c r="U26" s="4" t="s">
        <v>47</v>
      </c>
    </row>
    <row r="27" spans="1:21" ht="14" x14ac:dyDescent="0.3">
      <c r="A27" s="10" t="s">
        <v>35</v>
      </c>
      <c r="R27" s="4">
        <v>24</v>
      </c>
      <c r="S27" s="5">
        <v>272</v>
      </c>
      <c r="U27" s="4" t="s">
        <v>106</v>
      </c>
    </row>
    <row r="28" spans="1:21" ht="14" x14ac:dyDescent="0.3">
      <c r="A28" s="13" t="s">
        <v>25</v>
      </c>
      <c r="B28" s="14"/>
      <c r="C28" s="14"/>
      <c r="D28" s="14"/>
      <c r="E28" s="14"/>
      <c r="F28" s="14"/>
      <c r="G28" s="14"/>
      <c r="H28" s="14"/>
      <c r="I28" s="14"/>
      <c r="J28" s="14"/>
      <c r="K28" s="14"/>
      <c r="R28" s="4">
        <v>32</v>
      </c>
      <c r="S28" s="5">
        <v>280</v>
      </c>
      <c r="U28" s="4" t="s">
        <v>114</v>
      </c>
    </row>
    <row r="29" spans="1:21" ht="13.75" customHeight="1" x14ac:dyDescent="0.3">
      <c r="A29" s="13" t="s">
        <v>34</v>
      </c>
      <c r="B29" s="14"/>
      <c r="C29" s="14"/>
      <c r="D29" s="14"/>
      <c r="E29" s="14"/>
      <c r="F29" s="14"/>
      <c r="G29" s="14"/>
      <c r="H29" s="14"/>
      <c r="I29" s="14"/>
      <c r="J29" s="14"/>
      <c r="K29" s="14"/>
      <c r="R29" s="4">
        <v>40</v>
      </c>
      <c r="S29" s="5">
        <v>288</v>
      </c>
      <c r="U29" s="4" t="s">
        <v>48</v>
      </c>
    </row>
    <row r="30" spans="1:21" ht="14" x14ac:dyDescent="0.3">
      <c r="A30" s="10" t="s">
        <v>37</v>
      </c>
      <c r="R30" s="4">
        <v>48</v>
      </c>
      <c r="S30" s="12">
        <v>296</v>
      </c>
      <c r="U30" s="4" t="s">
        <v>101</v>
      </c>
    </row>
    <row r="31" spans="1:21" ht="14.5" x14ac:dyDescent="0.35">
      <c r="A31" s="10" t="s">
        <v>63</v>
      </c>
      <c r="R31" s="4">
        <v>56</v>
      </c>
      <c r="S31" s="5">
        <v>304</v>
      </c>
      <c r="U31" t="s">
        <v>49</v>
      </c>
    </row>
    <row r="32" spans="1:21" x14ac:dyDescent="0.25">
      <c r="R32" s="4">
        <v>64</v>
      </c>
      <c r="S32" s="5">
        <v>312</v>
      </c>
      <c r="U32" s="4" t="s">
        <v>110</v>
      </c>
    </row>
    <row r="33" spans="18:21" x14ac:dyDescent="0.25">
      <c r="S33" s="5">
        <v>320</v>
      </c>
      <c r="U33" s="4" t="s">
        <v>50</v>
      </c>
    </row>
    <row r="34" spans="18:21" x14ac:dyDescent="0.25">
      <c r="S34" s="5">
        <v>328</v>
      </c>
    </row>
    <row r="35" spans="18:21" x14ac:dyDescent="0.25">
      <c r="S35" s="5">
        <v>336</v>
      </c>
    </row>
    <row r="36" spans="18:21" x14ac:dyDescent="0.25">
      <c r="R36" s="4" t="s">
        <v>30</v>
      </c>
      <c r="S36" s="5">
        <v>344</v>
      </c>
    </row>
    <row r="37" spans="18:21" x14ac:dyDescent="0.25">
      <c r="R37" s="4" t="s">
        <v>31</v>
      </c>
      <c r="S37" s="5">
        <v>352</v>
      </c>
    </row>
    <row r="38" spans="18:21" x14ac:dyDescent="0.25">
      <c r="S38" s="5">
        <v>360</v>
      </c>
    </row>
    <row r="39" spans="18:21" x14ac:dyDescent="0.25">
      <c r="S39" s="5">
        <v>368</v>
      </c>
    </row>
    <row r="40" spans="18:21" x14ac:dyDescent="0.25">
      <c r="S40" s="5">
        <v>376</v>
      </c>
    </row>
    <row r="41" spans="18:21" x14ac:dyDescent="0.25">
      <c r="S41" s="5">
        <v>384</v>
      </c>
    </row>
    <row r="42" spans="18:21" x14ac:dyDescent="0.25">
      <c r="S42" s="5">
        <v>392</v>
      </c>
    </row>
    <row r="43" spans="18:21" x14ac:dyDescent="0.25">
      <c r="S43" s="5">
        <v>400</v>
      </c>
    </row>
    <row r="44" spans="18:21" x14ac:dyDescent="0.25">
      <c r="S44" s="5">
        <v>408</v>
      </c>
    </row>
    <row r="45" spans="18:21" x14ac:dyDescent="0.25">
      <c r="S45" s="5">
        <v>416</v>
      </c>
    </row>
    <row r="46" spans="18:21" x14ac:dyDescent="0.25">
      <c r="S46" s="5">
        <v>424</v>
      </c>
    </row>
    <row r="47" spans="18:21" x14ac:dyDescent="0.25">
      <c r="S47" s="5">
        <v>432</v>
      </c>
    </row>
    <row r="48" spans="18:21" x14ac:dyDescent="0.25">
      <c r="S48" s="5">
        <v>440</v>
      </c>
    </row>
    <row r="49" spans="19:19" x14ac:dyDescent="0.25">
      <c r="S49" s="5">
        <v>448</v>
      </c>
    </row>
    <row r="50" spans="19:19" x14ac:dyDescent="0.25">
      <c r="S50" s="5">
        <v>456</v>
      </c>
    </row>
    <row r="51" spans="19:19" x14ac:dyDescent="0.25">
      <c r="S51" s="5">
        <v>464</v>
      </c>
    </row>
    <row r="52" spans="19:19" x14ac:dyDescent="0.25">
      <c r="S52" s="4">
        <v>472</v>
      </c>
    </row>
    <row r="53" spans="19:19" x14ac:dyDescent="0.25">
      <c r="S53" s="4">
        <v>480</v>
      </c>
    </row>
    <row r="54" spans="19:19" x14ac:dyDescent="0.25">
      <c r="S54" s="4">
        <v>488</v>
      </c>
    </row>
    <row r="55" spans="19:19" x14ac:dyDescent="0.25">
      <c r="S55" s="4">
        <v>496</v>
      </c>
    </row>
    <row r="56" spans="19:19" x14ac:dyDescent="0.25">
      <c r="S56" s="4">
        <v>504</v>
      </c>
    </row>
    <row r="57" spans="19:19" x14ac:dyDescent="0.25">
      <c r="S57" s="4">
        <v>512</v>
      </c>
    </row>
    <row r="58" spans="19:19" x14ac:dyDescent="0.25">
      <c r="S58" s="4">
        <v>520</v>
      </c>
    </row>
    <row r="59" spans="19:19" x14ac:dyDescent="0.25">
      <c r="S59" s="4">
        <v>528</v>
      </c>
    </row>
    <row r="60" spans="19:19" x14ac:dyDescent="0.25">
      <c r="S60" s="4">
        <v>536</v>
      </c>
    </row>
    <row r="61" spans="19:19" x14ac:dyDescent="0.25">
      <c r="S61" s="4">
        <v>544</v>
      </c>
    </row>
    <row r="62" spans="19:19" x14ac:dyDescent="0.25">
      <c r="S62" s="4">
        <v>552</v>
      </c>
    </row>
    <row r="63" spans="19:19" x14ac:dyDescent="0.25">
      <c r="S63" s="4">
        <v>560</v>
      </c>
    </row>
    <row r="64" spans="19:19" x14ac:dyDescent="0.25">
      <c r="S64" s="4">
        <v>568</v>
      </c>
    </row>
    <row r="65" spans="19:19" x14ac:dyDescent="0.25">
      <c r="S65" s="4">
        <v>576</v>
      </c>
    </row>
    <row r="66" spans="19:19" x14ac:dyDescent="0.25">
      <c r="S66" s="4">
        <v>584</v>
      </c>
    </row>
    <row r="67" spans="19:19" x14ac:dyDescent="0.25">
      <c r="S67" s="4">
        <v>592</v>
      </c>
    </row>
    <row r="68" spans="19:19" x14ac:dyDescent="0.25">
      <c r="S68" s="4">
        <v>600</v>
      </c>
    </row>
    <row r="69" spans="19:19" x14ac:dyDescent="0.25">
      <c r="S69" s="4">
        <v>608</v>
      </c>
    </row>
    <row r="70" spans="19:19" x14ac:dyDescent="0.25">
      <c r="S70" s="4">
        <v>616</v>
      </c>
    </row>
    <row r="71" spans="19:19" x14ac:dyDescent="0.25">
      <c r="S71" s="4">
        <v>624</v>
      </c>
    </row>
    <row r="72" spans="19:19" x14ac:dyDescent="0.25">
      <c r="S72" s="4">
        <v>632</v>
      </c>
    </row>
    <row r="73" spans="19:19" x14ac:dyDescent="0.25">
      <c r="S73" s="4">
        <v>640</v>
      </c>
    </row>
    <row r="74" spans="19:19" x14ac:dyDescent="0.25">
      <c r="S74" s="4">
        <v>648</v>
      </c>
    </row>
    <row r="75" spans="19:19" x14ac:dyDescent="0.25">
      <c r="S75" s="4">
        <v>656</v>
      </c>
    </row>
    <row r="76" spans="19:19" x14ac:dyDescent="0.25">
      <c r="S76" s="4">
        <v>664</v>
      </c>
    </row>
    <row r="77" spans="19:19" x14ac:dyDescent="0.25">
      <c r="S77" s="4">
        <v>672</v>
      </c>
    </row>
    <row r="78" spans="19:19" x14ac:dyDescent="0.25">
      <c r="S78" s="4">
        <v>680</v>
      </c>
    </row>
    <row r="79" spans="19:19" x14ac:dyDescent="0.25">
      <c r="S79" s="4">
        <v>688</v>
      </c>
    </row>
    <row r="80" spans="19:19" x14ac:dyDescent="0.25">
      <c r="S80" s="4">
        <v>696</v>
      </c>
    </row>
    <row r="81" spans="19:19" x14ac:dyDescent="0.25">
      <c r="S81" s="4">
        <v>704</v>
      </c>
    </row>
    <row r="82" spans="19:19" x14ac:dyDescent="0.25">
      <c r="S82" s="4">
        <v>712</v>
      </c>
    </row>
    <row r="83" spans="19:19" x14ac:dyDescent="0.25">
      <c r="S83" s="4">
        <v>720</v>
      </c>
    </row>
    <row r="84" spans="19:19" x14ac:dyDescent="0.25">
      <c r="S84" s="4">
        <v>728</v>
      </c>
    </row>
    <row r="85" spans="19:19" x14ac:dyDescent="0.25">
      <c r="S85" s="4">
        <v>736</v>
      </c>
    </row>
    <row r="86" spans="19:19" x14ac:dyDescent="0.25">
      <c r="S86" s="4">
        <v>744</v>
      </c>
    </row>
    <row r="87" spans="19:19" x14ac:dyDescent="0.25">
      <c r="S87" s="4">
        <v>752</v>
      </c>
    </row>
    <row r="88" spans="19:19" x14ac:dyDescent="0.25">
      <c r="S88" s="4">
        <v>760</v>
      </c>
    </row>
    <row r="89" spans="19:19" x14ac:dyDescent="0.25">
      <c r="S89" s="4">
        <v>768</v>
      </c>
    </row>
    <row r="90" spans="19:19" x14ac:dyDescent="0.25">
      <c r="S90" s="4">
        <v>784</v>
      </c>
    </row>
    <row r="91" spans="19:19" x14ac:dyDescent="0.25">
      <c r="S91" s="4">
        <v>792</v>
      </c>
    </row>
    <row r="92" spans="19:19" x14ac:dyDescent="0.25">
      <c r="S92" s="4">
        <v>800</v>
      </c>
    </row>
    <row r="93" spans="19:19" x14ac:dyDescent="0.25">
      <c r="S93" s="4">
        <v>816</v>
      </c>
    </row>
    <row r="94" spans="19:19" x14ac:dyDescent="0.25">
      <c r="S94" s="4">
        <v>832</v>
      </c>
    </row>
    <row r="95" spans="19:19" x14ac:dyDescent="0.25">
      <c r="S95" s="4">
        <v>848</v>
      </c>
    </row>
    <row r="96" spans="19:19" x14ac:dyDescent="0.25">
      <c r="S96" s="4">
        <v>864</v>
      </c>
    </row>
    <row r="97" spans="19:19" x14ac:dyDescent="0.25">
      <c r="S97" s="4">
        <v>880</v>
      </c>
    </row>
    <row r="98" spans="19:19" x14ac:dyDescent="0.25">
      <c r="S98" s="4">
        <v>896</v>
      </c>
    </row>
    <row r="99" spans="19:19" x14ac:dyDescent="0.25">
      <c r="S99" s="4">
        <v>912</v>
      </c>
    </row>
    <row r="100" spans="19:19" x14ac:dyDescent="0.25">
      <c r="S100" s="4">
        <v>928</v>
      </c>
    </row>
    <row r="101" spans="19:19" x14ac:dyDescent="0.25">
      <c r="S101" s="4">
        <v>944</v>
      </c>
    </row>
    <row r="102" spans="19:19" x14ac:dyDescent="0.25">
      <c r="S102" s="4">
        <v>960</v>
      </c>
    </row>
    <row r="103" spans="19:19" x14ac:dyDescent="0.25">
      <c r="S103" s="4">
        <f>S102+16</f>
        <v>976</v>
      </c>
    </row>
    <row r="104" spans="19:19" x14ac:dyDescent="0.25">
      <c r="S104" s="4">
        <f t="shared" ref="S104:S117" si="0">S103+16</f>
        <v>992</v>
      </c>
    </row>
    <row r="105" spans="19:19" x14ac:dyDescent="0.25">
      <c r="S105" s="4">
        <f t="shared" si="0"/>
        <v>1008</v>
      </c>
    </row>
    <row r="106" spans="19:19" x14ac:dyDescent="0.25">
      <c r="S106" s="4">
        <f t="shared" si="0"/>
        <v>1024</v>
      </c>
    </row>
    <row r="107" spans="19:19" x14ac:dyDescent="0.25">
      <c r="S107" s="4">
        <f t="shared" si="0"/>
        <v>1040</v>
      </c>
    </row>
    <row r="108" spans="19:19" x14ac:dyDescent="0.25">
      <c r="S108" s="4">
        <f t="shared" si="0"/>
        <v>1056</v>
      </c>
    </row>
    <row r="109" spans="19:19" x14ac:dyDescent="0.25">
      <c r="S109" s="4">
        <f t="shared" si="0"/>
        <v>1072</v>
      </c>
    </row>
    <row r="110" spans="19:19" x14ac:dyDescent="0.25">
      <c r="S110" s="4">
        <f t="shared" si="0"/>
        <v>1088</v>
      </c>
    </row>
    <row r="111" spans="19:19" x14ac:dyDescent="0.25">
      <c r="S111" s="4">
        <f t="shared" si="0"/>
        <v>1104</v>
      </c>
    </row>
    <row r="112" spans="19:19" x14ac:dyDescent="0.25">
      <c r="S112" s="4">
        <f t="shared" si="0"/>
        <v>1120</v>
      </c>
    </row>
    <row r="113" spans="19:19" x14ac:dyDescent="0.25">
      <c r="S113" s="4">
        <f t="shared" si="0"/>
        <v>1136</v>
      </c>
    </row>
    <row r="114" spans="19:19" x14ac:dyDescent="0.25">
      <c r="S114" s="4">
        <f t="shared" si="0"/>
        <v>1152</v>
      </c>
    </row>
    <row r="115" spans="19:19" x14ac:dyDescent="0.25">
      <c r="S115" s="4">
        <f>S114+16</f>
        <v>1168</v>
      </c>
    </row>
    <row r="116" spans="19:19" x14ac:dyDescent="0.25">
      <c r="S116" s="4">
        <f t="shared" si="0"/>
        <v>1184</v>
      </c>
    </row>
    <row r="117" spans="19:19" x14ac:dyDescent="0.25">
      <c r="S117" s="4">
        <f t="shared" si="0"/>
        <v>1200</v>
      </c>
    </row>
  </sheetData>
  <sortState xmlns:xlrd2="http://schemas.microsoft.com/office/spreadsheetml/2017/richdata2" ref="U1:U33">
    <sortCondition ref="U1:U33"/>
  </sortState>
  <mergeCells count="6">
    <mergeCell ref="D23:G23"/>
    <mergeCell ref="D7:F7"/>
    <mergeCell ref="D8:F8"/>
    <mergeCell ref="D20:G20"/>
    <mergeCell ref="D21:G21"/>
    <mergeCell ref="D22:G22"/>
  </mergeCells>
  <dataValidations count="7">
    <dataValidation type="list" allowBlank="1" showInputMessage="1" showErrorMessage="1" sqref="E10" xr:uid="{00000000-0002-0000-0100-000000000000}">
      <formula1>$R$1:$R$4</formula1>
    </dataValidation>
    <dataValidation type="list" allowBlank="1" showInputMessage="1" showErrorMessage="1" sqref="E14" xr:uid="{00000000-0002-0000-0100-000002000000}">
      <formula1>$V$1:$V$6</formula1>
    </dataValidation>
    <dataValidation type="list" allowBlank="1" showInputMessage="1" showErrorMessage="1" sqref="E15" xr:uid="{00000000-0002-0000-0100-000003000000}">
      <formula1>$R$23:$R$32</formula1>
    </dataValidation>
    <dataValidation type="list" allowBlank="1" showInputMessage="1" showErrorMessage="1" sqref="E16" xr:uid="{00000000-0002-0000-0100-000004000000}">
      <formula1>$R$36:$R$37</formula1>
    </dataValidation>
    <dataValidation type="list" allowBlank="1" showInputMessage="1" showErrorMessage="1" sqref="E12" xr:uid="{00000000-0002-0000-0100-000005000000}">
      <formula1>$R$5:$R$18</formula1>
    </dataValidation>
    <dataValidation type="list" allowBlank="1" showInputMessage="1" showErrorMessage="1" sqref="E11" xr:uid="{00000000-0002-0000-0100-000001000000}">
      <formula1>$S$1:$S$118</formula1>
    </dataValidation>
    <dataValidation type="list" allowBlank="1" showInputMessage="1" showErrorMessage="1" sqref="E13" xr:uid="{00000000-0002-0000-0100-000006000000}">
      <formula1>$U$1:$U$33</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11001a3-0150-4135-bf21-c5ffc26d79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B841DF4570374FA2750AEDE7DB1976" ma:contentTypeVersion="8" ma:contentTypeDescription="Create a new document." ma:contentTypeScope="" ma:versionID="d715756cc24e7358bad3098d4afae30a">
  <xsd:schema xmlns:xsd="http://www.w3.org/2001/XMLSchema" xmlns:xs="http://www.w3.org/2001/XMLSchema" xmlns:p="http://schemas.microsoft.com/office/2006/metadata/properties" xmlns:ns3="b11001a3-0150-4135-bf21-c5ffc26d79f9" xmlns:ns4="f5dfd8d1-202f-4e35-b7bd-c2e48e6c3b15" targetNamespace="http://schemas.microsoft.com/office/2006/metadata/properties" ma:root="true" ma:fieldsID="ed8520d4f20b9afec2ccb136a6d7d324" ns3:_="" ns4:_="">
    <xsd:import namespace="b11001a3-0150-4135-bf21-c5ffc26d79f9"/>
    <xsd:import namespace="f5dfd8d1-202f-4e35-b7bd-c2e48e6c3b1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1001a3-0150-4135-bf21-c5ffc26d79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dfd8d1-202f-4e35-b7bd-c2e48e6c3b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68751-80D8-4380-8CF6-E36F673AA9F0}">
  <ds:schemaRef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f5dfd8d1-202f-4e35-b7bd-c2e48e6c3b15"/>
    <ds:schemaRef ds:uri="http://purl.org/dc/terms/"/>
    <ds:schemaRef ds:uri="http://schemas.microsoft.com/office/2006/metadata/properties"/>
    <ds:schemaRef ds:uri="b11001a3-0150-4135-bf21-c5ffc26d79f9"/>
    <ds:schemaRef ds:uri="http://www.w3.org/XML/1998/namespace"/>
  </ds:schemaRefs>
</ds:datastoreItem>
</file>

<file path=customXml/itemProps2.xml><?xml version="1.0" encoding="utf-8"?>
<ds:datastoreItem xmlns:ds="http://schemas.openxmlformats.org/officeDocument/2006/customXml" ds:itemID="{F40AE1B1-99EE-4827-A2FB-28732D08F83D}">
  <ds:schemaRefs>
    <ds:schemaRef ds:uri="http://schemas.microsoft.com/sharepoint/v3/contenttype/forms"/>
  </ds:schemaRefs>
</ds:datastoreItem>
</file>

<file path=customXml/itemProps3.xml><?xml version="1.0" encoding="utf-8"?>
<ds:datastoreItem xmlns:ds="http://schemas.openxmlformats.org/officeDocument/2006/customXml" ds:itemID="{E065CDC4-28E1-4F71-945C-A54F4C9190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1001a3-0150-4135-bf21-c5ffc26d79f9"/>
    <ds:schemaRef ds:uri="f5dfd8d1-202f-4e35-b7bd-c2e48e6c3b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Calcs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Faratro</dc:creator>
  <cp:lastModifiedBy>James Longman</cp:lastModifiedBy>
  <cp:lastPrinted>2013-02-01T15:23:36Z</cp:lastPrinted>
  <dcterms:created xsi:type="dcterms:W3CDTF">2012-07-04T13:08:21Z</dcterms:created>
  <dcterms:modified xsi:type="dcterms:W3CDTF">2023-05-04T12:46:14Z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0x01010038B841DF4570374FA2750AEDE7DB1976</vt:lpwstr>
  </property>
</Properties>
</file>